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75" windowHeight="5385" activeTab="0"/>
  </bookViews>
  <sheets>
    <sheet name="INSTRNS" sheetId="1" r:id="rId1"/>
    <sheet name="Example" sheetId="2" r:id="rId2"/>
    <sheet name="7%(JUL-2012)" sheetId="3" r:id="rId3"/>
    <sheet name="Date values" sheetId="4" state="hidden" r:id="rId4"/>
  </sheets>
  <externalReferences>
    <externalReference r:id="rId7"/>
  </externalReferences>
  <definedNames>
    <definedName name="_xlnm.Print_Area" localSheetId="2">'7%(JUL-2012)'!$A$1:$U$40</definedName>
  </definedNames>
  <calcPr fullCalcOnLoad="1"/>
</workbook>
</file>

<file path=xl/comments1.xml><?xml version="1.0" encoding="utf-8"?>
<comments xmlns="http://schemas.openxmlformats.org/spreadsheetml/2006/main">
  <authors>
    <author>CUSAT</author>
  </authors>
  <commentList>
    <comment ref="C13" authorId="0">
      <text>
        <r>
          <rPr>
            <b/>
            <sz val="8"/>
            <rFont val="Tahoma"/>
            <family val="2"/>
          </rPr>
          <t>CUSAT:</t>
        </r>
        <r>
          <rPr>
            <sz val="8"/>
            <rFont val="Tahoma"/>
            <family val="2"/>
          </rPr>
          <t xml:space="preserve">
</t>
        </r>
        <r>
          <rPr>
            <b/>
            <sz val="8"/>
            <color indexed="10"/>
            <rFont val="Tahoma"/>
            <family val="2"/>
          </rPr>
          <t>VERY IMPORTANT POINT! PLEASE READ!</t>
        </r>
      </text>
    </comment>
  </commentList>
</comments>
</file>

<file path=xl/comments3.xml><?xml version="1.0" encoding="utf-8"?>
<comments xmlns="http://schemas.openxmlformats.org/spreadsheetml/2006/main">
  <authors>
    <author>Finance</author>
    <author> </author>
    <author>CUSAT</author>
    <author>finance</author>
  </authors>
  <commentList>
    <comment ref="A21" authorId="0">
      <text>
        <r>
          <rPr>
            <b/>
            <sz val="8"/>
            <rFont val="Tahoma"/>
            <family val="2"/>
          </rPr>
          <t>Finance:</t>
        </r>
        <r>
          <rPr>
            <sz val="8"/>
            <rFont val="Tahoma"/>
            <family val="2"/>
          </rPr>
          <t xml:space="preserve">
ELS 7/12 to 8/12. 
</t>
        </r>
      </text>
    </comment>
    <comment ref="D5" authorId="0">
      <text>
        <r>
          <rPr>
            <b/>
            <sz val="8"/>
            <rFont val="Tahoma"/>
            <family val="2"/>
          </rPr>
          <t>Finance:</t>
        </r>
        <r>
          <rPr>
            <sz val="8"/>
            <rFont val="Tahoma"/>
            <family val="2"/>
          </rPr>
          <t xml:space="preserve">
(1) </t>
        </r>
        <r>
          <rPr>
            <b/>
            <sz val="8"/>
            <color indexed="10"/>
            <rFont val="Tahoma"/>
            <family val="2"/>
          </rPr>
          <t xml:space="preserve">ALL </t>
        </r>
        <r>
          <rPr>
            <sz val="8"/>
            <rFont val="Tahoma"/>
            <family val="2"/>
          </rPr>
          <t>cells shaded '</t>
        </r>
        <r>
          <rPr>
            <u val="single"/>
            <sz val="8"/>
            <color indexed="12"/>
            <rFont val="Tahoma"/>
            <family val="2"/>
          </rPr>
          <t>Light Blue</t>
        </r>
        <r>
          <rPr>
            <sz val="8"/>
            <rFont val="Tahoma"/>
            <family val="2"/>
          </rPr>
          <t xml:space="preserve">' in this sheet are to be </t>
        </r>
        <r>
          <rPr>
            <b/>
            <sz val="8"/>
            <color indexed="12"/>
            <rFont val="Tahoma"/>
            <family val="2"/>
          </rPr>
          <t>CORRECTLY</t>
        </r>
        <r>
          <rPr>
            <sz val="8"/>
            <rFont val="Tahoma"/>
            <family val="2"/>
          </rPr>
          <t xml:space="preserve"> filled up.
</t>
        </r>
      </text>
    </comment>
    <comment ref="C6" authorId="0">
      <text>
        <r>
          <rPr>
            <b/>
            <sz val="8"/>
            <rFont val="Tahoma"/>
            <family val="2"/>
          </rPr>
          <t>Finance:</t>
        </r>
        <r>
          <rPr>
            <sz val="8"/>
            <rFont val="Tahoma"/>
            <family val="2"/>
          </rPr>
          <t xml:space="preserve">
Indicate Dept No: </t>
        </r>
        <r>
          <rPr>
            <b/>
            <sz val="8"/>
            <rFont val="Tahoma"/>
            <family val="2"/>
          </rPr>
          <t>as on date</t>
        </r>
        <r>
          <rPr>
            <sz val="8"/>
            <rFont val="Tahoma"/>
            <family val="2"/>
          </rPr>
          <t xml:space="preserve">. Format is for eg. </t>
        </r>
        <r>
          <rPr>
            <b/>
            <sz val="8"/>
            <rFont val="Tahoma"/>
            <family val="2"/>
          </rPr>
          <t>01-0 for Admn. Office.</t>
        </r>
        <r>
          <rPr>
            <sz val="8"/>
            <rFont val="Tahoma"/>
            <family val="2"/>
          </rPr>
          <t xml:space="preserve"> </t>
        </r>
      </text>
    </comment>
    <comment ref="L5" authorId="1">
      <text>
        <r>
          <rPr>
            <b/>
            <sz val="8"/>
            <rFont val="Tahoma"/>
            <family val="2"/>
          </rPr>
          <t xml:space="preserve">Finance :
Do not leave this cell blank, to facilitate easy checking by Audit/Payrolls.
</t>
        </r>
        <r>
          <rPr>
            <sz val="8"/>
            <rFont val="Tahoma"/>
            <family val="2"/>
          </rPr>
          <t xml:space="preserve">
</t>
        </r>
      </text>
    </comment>
    <comment ref="Q5" authorId="0">
      <text>
        <r>
          <rPr>
            <b/>
            <sz val="8"/>
            <rFont val="Tahoma"/>
            <family val="2"/>
          </rPr>
          <t>Finance:</t>
        </r>
        <r>
          <rPr>
            <sz val="8"/>
            <rFont val="Tahoma"/>
            <family val="2"/>
          </rPr>
          <t xml:space="preserve">
Indicate Designation </t>
        </r>
        <r>
          <rPr>
            <b/>
            <sz val="8"/>
            <rFont val="Tahoma"/>
            <family val="2"/>
          </rPr>
          <t>as on date</t>
        </r>
      </text>
    </comment>
    <comment ref="D21" authorId="1">
      <text>
        <r>
          <rPr>
            <b/>
            <sz val="8"/>
            <rFont val="Tahoma"/>
            <family val="2"/>
          </rPr>
          <t xml:space="preserve">Finance :
</t>
        </r>
        <r>
          <rPr>
            <sz val="8"/>
            <rFont val="Tahoma"/>
            <family val="2"/>
          </rPr>
          <t>Here enter the no. of days surrendered.</t>
        </r>
        <r>
          <rPr>
            <sz val="8"/>
            <rFont val="Tahoma"/>
            <family val="2"/>
          </rPr>
          <t xml:space="preserve">
</t>
        </r>
      </text>
    </comment>
    <comment ref="B40" authorId="0">
      <text>
        <r>
          <rPr>
            <b/>
            <sz val="8"/>
            <rFont val="Tahoma"/>
            <family val="2"/>
          </rPr>
          <t>Finance:</t>
        </r>
        <r>
          <rPr>
            <sz val="8"/>
            <rFont val="Tahoma"/>
            <family val="2"/>
          </rPr>
          <t xml:space="preserve">
Enter date in the format: eg. 17-6-09.</t>
        </r>
      </text>
    </comment>
    <comment ref="A22" authorId="0">
      <text>
        <r>
          <rPr>
            <b/>
            <sz val="8"/>
            <rFont val="Tahoma"/>
            <family val="2"/>
          </rPr>
          <t>Finance:</t>
        </r>
        <r>
          <rPr>
            <sz val="8"/>
            <rFont val="Tahoma"/>
            <family val="2"/>
          </rPr>
          <t xml:space="preserve">
ELS 9/12 to 11/12. 
</t>
        </r>
      </text>
    </comment>
    <comment ref="D22" authorId="1">
      <text>
        <r>
          <rPr>
            <b/>
            <sz val="8"/>
            <rFont val="Tahoma"/>
            <family val="2"/>
          </rPr>
          <t xml:space="preserve">Finance :
</t>
        </r>
        <r>
          <rPr>
            <sz val="8"/>
            <rFont val="Tahoma"/>
            <family val="2"/>
          </rPr>
          <t>Here enter the no. of days surrendered.</t>
        </r>
        <r>
          <rPr>
            <sz val="8"/>
            <rFont val="Tahoma"/>
            <family val="2"/>
          </rPr>
          <t xml:space="preserve">
</t>
        </r>
      </text>
    </comment>
    <comment ref="C11" authorId="2">
      <text>
        <r>
          <rPr>
            <b/>
            <sz val="8"/>
            <rFont val="Tahoma"/>
            <family val="2"/>
          </rPr>
          <t>CUSAT:</t>
        </r>
        <r>
          <rPr>
            <sz val="8"/>
            <rFont val="Tahoma"/>
            <family val="2"/>
          </rPr>
          <t xml:space="preserve">
</t>
        </r>
        <r>
          <rPr>
            <b/>
            <sz val="8"/>
            <rFont val="Tahoma"/>
            <family val="2"/>
          </rPr>
          <t>T</t>
        </r>
        <r>
          <rPr>
            <sz val="8"/>
            <rFont val="Tahoma"/>
            <family val="2"/>
          </rPr>
          <t xml:space="preserve">=Tkka; </t>
        </r>
        <r>
          <rPr>
            <b/>
            <sz val="8"/>
            <rFont val="Tahoma"/>
            <family val="2"/>
          </rPr>
          <t>E</t>
        </r>
        <r>
          <rPr>
            <sz val="8"/>
            <rFont val="Tahoma"/>
            <family val="2"/>
          </rPr>
          <t xml:space="preserve">=Ekm; </t>
        </r>
        <r>
          <rPr>
            <b/>
            <sz val="8"/>
            <rFont val="Tahoma"/>
            <family val="2"/>
          </rPr>
          <t>P</t>
        </r>
        <r>
          <rPr>
            <sz val="8"/>
            <rFont val="Tahoma"/>
            <family val="2"/>
          </rPr>
          <t xml:space="preserve">=CUCEK; </t>
        </r>
        <r>
          <rPr>
            <b/>
            <sz val="8"/>
            <rFont val="Tahoma"/>
            <family val="2"/>
          </rPr>
          <t>N</t>
        </r>
        <r>
          <rPr>
            <sz val="8"/>
            <rFont val="Tahoma"/>
            <family val="2"/>
          </rPr>
          <t>= Not applicable</t>
        </r>
      </text>
    </comment>
    <comment ref="BO21" authorId="2">
      <text>
        <r>
          <rPr>
            <b/>
            <sz val="8"/>
            <rFont val="Tahoma"/>
            <family val="2"/>
          </rPr>
          <t>CUSAT:</t>
        </r>
        <r>
          <rPr>
            <sz val="8"/>
            <rFont val="Tahoma"/>
            <family val="2"/>
          </rPr>
          <t xml:space="preserve">
To check these yellow shaded cells formulae carefully</t>
        </r>
      </text>
    </comment>
    <comment ref="BD12" authorId="2">
      <text>
        <r>
          <rPr>
            <b/>
            <sz val="8"/>
            <rFont val="Tahoma"/>
            <family val="2"/>
          </rPr>
          <t>CUSAT:</t>
        </r>
        <r>
          <rPr>
            <sz val="8"/>
            <rFont val="Tahoma"/>
            <family val="2"/>
          </rPr>
          <t xml:space="preserve">
the detailed formula for calculating eligible HRA is now done away with for the DA arr calc wef July 2010, due to  complixity in calculations (intro of UGC-2006 pay rev) and lack of time to examine the same. </t>
        </r>
      </text>
    </comment>
    <comment ref="B11" authorId="2">
      <text>
        <r>
          <rPr>
            <b/>
            <sz val="8"/>
            <rFont val="Tahoma"/>
            <family val="2"/>
          </rPr>
          <t>CUSAT:</t>
        </r>
        <r>
          <rPr>
            <sz val="8"/>
            <rFont val="Tahoma"/>
            <family val="2"/>
          </rPr>
          <t xml:space="preserve">
 </t>
        </r>
        <r>
          <rPr>
            <b/>
            <sz val="10"/>
            <rFont val="Tahoma"/>
            <family val="2"/>
          </rPr>
          <t>P</t>
        </r>
        <r>
          <rPr>
            <sz val="8"/>
            <rFont val="Tahoma"/>
            <family val="2"/>
          </rPr>
          <t xml:space="preserve">= State 1997 scale.
 </t>
        </r>
        <r>
          <rPr>
            <b/>
            <sz val="10"/>
            <rFont val="Tahoma"/>
            <family val="2"/>
          </rPr>
          <t>R</t>
        </r>
        <r>
          <rPr>
            <sz val="8"/>
            <rFont val="Tahoma"/>
            <family val="2"/>
          </rPr>
          <t>= State 2004 scale or UGC 1996 or UGC 2006 scale.</t>
        </r>
      </text>
    </comment>
    <comment ref="J12" authorId="2">
      <text>
        <r>
          <rPr>
            <b/>
            <sz val="8"/>
            <rFont val="Tahoma"/>
            <family val="2"/>
          </rPr>
          <t>CUSAT:</t>
        </r>
        <r>
          <rPr>
            <sz val="8"/>
            <rFont val="Tahoma"/>
            <family val="2"/>
          </rPr>
          <t xml:space="preserve">
To be manually filled up</t>
        </r>
      </text>
    </comment>
    <comment ref="K12" authorId="2">
      <text>
        <r>
          <rPr>
            <b/>
            <sz val="8"/>
            <rFont val="Tahoma"/>
            <family val="2"/>
          </rPr>
          <t>CUSAT:</t>
        </r>
        <r>
          <rPr>
            <sz val="8"/>
            <rFont val="Tahoma"/>
            <family val="2"/>
          </rPr>
          <t xml:space="preserve">
To be manually filled up</t>
        </r>
      </text>
    </comment>
    <comment ref="Q6" authorId="3">
      <text>
        <r>
          <rPr>
            <b/>
            <sz val="8"/>
            <rFont val="Tahoma"/>
            <family val="2"/>
          </rPr>
          <t>finance:</t>
        </r>
        <r>
          <rPr>
            <sz val="8"/>
            <rFont val="Tahoma"/>
            <family val="2"/>
          </rPr>
          <t xml:space="preserve">
U-96=UGC 1996
U-06=UGC 2006
S-04=State 2004
S-10=State 2010</t>
        </r>
      </text>
    </comment>
    <comment ref="A24" authorId="0">
      <text>
        <r>
          <rPr>
            <b/>
            <sz val="8"/>
            <rFont val="Tahoma"/>
            <family val="2"/>
          </rPr>
          <t>Finance:</t>
        </r>
        <r>
          <rPr>
            <sz val="8"/>
            <rFont val="Tahoma"/>
            <family val="2"/>
          </rPr>
          <t xml:space="preserve">
7/12 to 8/12. 
</t>
        </r>
      </text>
    </comment>
    <comment ref="A25" authorId="0">
      <text>
        <r>
          <rPr>
            <b/>
            <sz val="8"/>
            <rFont val="Tahoma"/>
            <family val="2"/>
          </rPr>
          <t>Finance:</t>
        </r>
        <r>
          <rPr>
            <sz val="8"/>
            <rFont val="Tahoma"/>
            <family val="2"/>
          </rPr>
          <t xml:space="preserve">
 9/12 to 11/12. 
</t>
        </r>
      </text>
    </comment>
  </commentList>
</comments>
</file>

<file path=xl/sharedStrings.xml><?xml version="1.0" encoding="utf-8"?>
<sst xmlns="http://schemas.openxmlformats.org/spreadsheetml/2006/main" count="156" uniqueCount="144">
  <si>
    <t>Basic</t>
  </si>
  <si>
    <t>CCA</t>
  </si>
  <si>
    <t>(2)</t>
  </si>
  <si>
    <t>(3)</t>
  </si>
  <si>
    <t>(4)</t>
  </si>
  <si>
    <t>(5)</t>
  </si>
  <si>
    <t>(6)</t>
  </si>
  <si>
    <t>(7)</t>
  </si>
  <si>
    <t>(8)</t>
  </si>
  <si>
    <t>(9)</t>
  </si>
  <si>
    <t>(10)</t>
  </si>
  <si>
    <t>(11)</t>
  </si>
  <si>
    <t>(12)</t>
  </si>
  <si>
    <t>(13)</t>
  </si>
  <si>
    <t>BALANCE</t>
  </si>
  <si>
    <t>CUSAT</t>
  </si>
  <si>
    <t>(Finance)</t>
  </si>
  <si>
    <t>Name:</t>
  </si>
  <si>
    <t>PF No:</t>
  </si>
  <si>
    <t>Incr. mth</t>
  </si>
  <si>
    <t>Desgn:</t>
  </si>
  <si>
    <t>Signature:</t>
  </si>
  <si>
    <t>Date:</t>
  </si>
  <si>
    <t>Jan</t>
  </si>
  <si>
    <t>Feb</t>
  </si>
  <si>
    <t>Mar</t>
  </si>
  <si>
    <t>Apr</t>
  </si>
  <si>
    <t>May</t>
  </si>
  <si>
    <t>Jun</t>
  </si>
  <si>
    <t>Jul</t>
  </si>
  <si>
    <t>Aug</t>
  </si>
  <si>
    <t>Sep</t>
  </si>
  <si>
    <t>Oct</t>
  </si>
  <si>
    <t>Nov</t>
  </si>
  <si>
    <t>Dec</t>
  </si>
  <si>
    <t>Salary Mth/Yr</t>
  </si>
  <si>
    <t>NET ARREARS TO BE CREDITED TO PF</t>
  </si>
  <si>
    <t>NET ARREARS TO BE PAID IN CASH</t>
  </si>
  <si>
    <t>Rs.</t>
  </si>
  <si>
    <t>TOTAL NET ARREARS DUE (To PF + By Cash)</t>
  </si>
  <si>
    <t>(1)</t>
  </si>
  <si>
    <t>HRA+ Camp All</t>
  </si>
  <si>
    <t>(Figures in Rupees)</t>
  </si>
  <si>
    <t>(14)</t>
  </si>
  <si>
    <t>ELS</t>
  </si>
  <si>
    <t>DUE</t>
  </si>
  <si>
    <t xml:space="preserve"> DRAWN</t>
  </si>
  <si>
    <t>P</t>
  </si>
  <si>
    <t>R</t>
  </si>
  <si>
    <r>
      <t>Scale of pay [</t>
    </r>
    <r>
      <rPr>
        <sz val="9"/>
        <rFont val="Times New Roman"/>
        <family val="1"/>
      </rPr>
      <t>SOP</t>
    </r>
    <r>
      <rPr>
        <b/>
        <sz val="9"/>
        <rFont val="Times New Roman"/>
        <family val="1"/>
      </rPr>
      <t>]</t>
    </r>
  </si>
  <si>
    <t>LWA+Dies-non (No. of days)</t>
  </si>
  <si>
    <t>HPL (No. of Days)</t>
  </si>
  <si>
    <t>(Gross figures)</t>
  </si>
  <si>
    <t>HRA code</t>
  </si>
  <si>
    <t>T</t>
  </si>
  <si>
    <t>E</t>
  </si>
  <si>
    <t>N</t>
  </si>
  <si>
    <t>(15)</t>
  </si>
  <si>
    <t>(16)</t>
  </si>
  <si>
    <t>(17)</t>
  </si>
  <si>
    <t>(18)</t>
  </si>
  <si>
    <t>Difference payable [Col 11 - Col 17]</t>
  </si>
  <si>
    <t>State</t>
  </si>
  <si>
    <t>UGC</t>
  </si>
  <si>
    <t>Dept No.</t>
  </si>
  <si>
    <t>Dept Name</t>
  </si>
  <si>
    <t>Category:</t>
  </si>
  <si>
    <t>(19)</t>
  </si>
  <si>
    <t>(20)</t>
  </si>
  <si>
    <t>COMPUTATION OF DA ARREARS</t>
  </si>
  <si>
    <t>INSTRUCTIONS</t>
  </si>
  <si>
    <r>
      <t xml:space="preserve">Only the cells shaded </t>
    </r>
    <r>
      <rPr>
        <b/>
        <u val="single"/>
        <sz val="9"/>
        <rFont val="Times New Roman"/>
        <family val="1"/>
      </rPr>
      <t>LIGHT BLUE</t>
    </r>
    <r>
      <rPr>
        <sz val="9"/>
        <rFont val="Times New Roman"/>
        <family val="1"/>
      </rPr>
      <t xml:space="preserve"> in each sheet are to be filled by the employees.</t>
    </r>
  </si>
  <si>
    <t>HOW TO ENTER DATA IN THE EXCEL SHEETS WHERE THERE IS MORE THAN ONE BASIC PAY IN A MONTH</t>
  </si>
  <si>
    <r>
      <t>(</t>
    </r>
    <r>
      <rPr>
        <b/>
        <sz val="10"/>
        <rFont val="Times New Roman"/>
        <family val="1"/>
      </rPr>
      <t>1</t>
    </r>
    <r>
      <rPr>
        <sz val="10"/>
        <rFont val="Times New Roman"/>
        <family val="1"/>
      </rPr>
      <t>) Let us assume the following data:-</t>
    </r>
  </si>
  <si>
    <t>(TKKA)</t>
  </si>
  <si>
    <t>(EKM)</t>
  </si>
  <si>
    <t>(All)</t>
  </si>
  <si>
    <t xml:space="preserve">Employees are however requested to thoroughly verify the calculations before forwarding the statements. While all efforts have been made to ensure correctness in formulae in the various cells, Finance Wing shall not accept responsibility for errors if any. Please note that these excel sheets have been prepared to the best of our ability and are supplied to employees only for their convenience. Hence, errors/inconsistencies if any may please be brought to our notice immediately, so that revised formats could be sent. </t>
  </si>
  <si>
    <t>Dearness pay</t>
  </si>
  <si>
    <r>
      <t xml:space="preserve">PLEASE NOTE </t>
    </r>
    <r>
      <rPr>
        <sz val="9"/>
        <rFont val="Times New Roman"/>
        <family val="1"/>
      </rPr>
      <t xml:space="preserve">that in these Excel sheets, the LWA/Dies-non column is also used for another </t>
    </r>
    <r>
      <rPr>
        <b/>
        <sz val="9"/>
        <rFont val="Times New Roman"/>
        <family val="1"/>
      </rPr>
      <t>very important purpose</t>
    </r>
    <r>
      <rPr>
        <sz val="9"/>
        <rFont val="Times New Roman"/>
        <family val="1"/>
      </rPr>
      <t xml:space="preserve">, as explained here:-     There may be </t>
    </r>
    <r>
      <rPr>
        <b/>
        <u val="single"/>
        <sz val="9"/>
        <rFont val="Times New Roman"/>
        <family val="1"/>
      </rPr>
      <t>instances where the pay of a person changes in the middle of a month</t>
    </r>
    <r>
      <rPr>
        <sz val="9"/>
        <rFont val="Times New Roman"/>
        <family val="1"/>
      </rPr>
      <t xml:space="preserve"> (promotions, option date to the revised pay scale etc.). (ie) there will be </t>
    </r>
    <r>
      <rPr>
        <b/>
        <sz val="9"/>
        <color indexed="10"/>
        <rFont val="Times New Roman"/>
        <family val="1"/>
      </rPr>
      <t>two basic pays in a single month</t>
    </r>
    <r>
      <rPr>
        <sz val="9"/>
        <rFont val="Times New Roman"/>
        <family val="1"/>
      </rPr>
      <t xml:space="preserve">. But since the logic in the Excel sheets is to compute results for a whole month, a method had to be devised to handle cases where a person has two basic pays during a single month. How this has been done, is explained in the </t>
    </r>
    <r>
      <rPr>
        <b/>
        <sz val="9"/>
        <rFont val="Times New Roman"/>
        <family val="1"/>
      </rPr>
      <t>second</t>
    </r>
    <r>
      <rPr>
        <sz val="9"/>
        <rFont val="Times New Roman"/>
        <family val="1"/>
      </rPr>
      <t xml:space="preserve"> sheet."Example"                                                                                                                                                                      </t>
    </r>
  </si>
  <si>
    <t>No of days in that mth</t>
  </si>
  <si>
    <t>No of days(-)LWA/DN</t>
  </si>
  <si>
    <r>
      <t>DUE</t>
    </r>
    <r>
      <rPr>
        <sz val="8"/>
        <rFont val="Times New Roman"/>
        <family val="1"/>
      </rPr>
      <t xml:space="preserve">   Basic(-)LWA</t>
    </r>
  </si>
  <si>
    <r>
      <t xml:space="preserve">DUE </t>
    </r>
    <r>
      <rPr>
        <sz val="8"/>
        <color indexed="8"/>
        <rFont val="Times New Roman"/>
        <family val="1"/>
      </rPr>
      <t>DP (-) LWA</t>
    </r>
  </si>
  <si>
    <r>
      <t xml:space="preserve">DUE </t>
    </r>
    <r>
      <rPr>
        <sz val="8"/>
        <color indexed="8"/>
        <rFont val="Times New Roman"/>
        <family val="1"/>
      </rPr>
      <t>DA (-) LWA</t>
    </r>
  </si>
  <si>
    <r>
      <t>DUE</t>
    </r>
    <r>
      <rPr>
        <sz val="8"/>
        <color indexed="8"/>
        <rFont val="Times New Roman"/>
        <family val="1"/>
      </rPr>
      <t xml:space="preserve"> 65%(BP+DA)</t>
    </r>
  </si>
  <si>
    <r>
      <t xml:space="preserve">DUE </t>
    </r>
    <r>
      <rPr>
        <sz val="8"/>
        <color indexed="8"/>
        <rFont val="Times New Roman"/>
        <family val="1"/>
      </rPr>
      <t>SP/PP (-) LWA</t>
    </r>
  </si>
  <si>
    <r>
      <t xml:space="preserve">DUE </t>
    </r>
    <r>
      <rPr>
        <sz val="8"/>
        <color indexed="8"/>
        <rFont val="Times New Roman"/>
        <family val="1"/>
      </rPr>
      <t>HRA/CCA (-) LWA</t>
    </r>
  </si>
  <si>
    <r>
      <t xml:space="preserve">DUE </t>
    </r>
    <r>
      <rPr>
        <sz val="8"/>
        <color indexed="8"/>
        <rFont val="Times New Roman"/>
        <family val="1"/>
      </rPr>
      <t>Total (-) LWA</t>
    </r>
  </si>
  <si>
    <r>
      <t xml:space="preserve">DRAWN </t>
    </r>
    <r>
      <rPr>
        <sz val="8"/>
        <rFont val="Times New Roman"/>
        <family val="1"/>
      </rPr>
      <t>DP (-) LWA</t>
    </r>
  </si>
  <si>
    <r>
      <t xml:space="preserve">DRAWN </t>
    </r>
    <r>
      <rPr>
        <sz val="8"/>
        <rFont val="Times New Roman"/>
        <family val="1"/>
      </rPr>
      <t>SP/PP (-) LWA</t>
    </r>
  </si>
  <si>
    <r>
      <t>DRAWN</t>
    </r>
    <r>
      <rPr>
        <b/>
        <sz val="8"/>
        <color indexed="12"/>
        <rFont val="Times New Roman"/>
        <family val="1"/>
      </rPr>
      <t xml:space="preserve">   </t>
    </r>
    <r>
      <rPr>
        <sz val="8"/>
        <rFont val="Times New Roman"/>
        <family val="1"/>
      </rPr>
      <t>Basic(-)LWA</t>
    </r>
  </si>
  <si>
    <r>
      <t>DRAWN</t>
    </r>
    <r>
      <rPr>
        <b/>
        <sz val="8"/>
        <color indexed="12"/>
        <rFont val="Times New Roman"/>
        <family val="1"/>
      </rPr>
      <t xml:space="preserve"> </t>
    </r>
    <r>
      <rPr>
        <sz val="8"/>
        <rFont val="Times New Roman"/>
        <family val="1"/>
      </rPr>
      <t>DA (-) LWA</t>
    </r>
  </si>
  <si>
    <r>
      <t>DRAWN</t>
    </r>
    <r>
      <rPr>
        <b/>
        <sz val="8"/>
        <color indexed="12"/>
        <rFont val="Times New Roman"/>
        <family val="1"/>
      </rPr>
      <t xml:space="preserve"> </t>
    </r>
    <r>
      <rPr>
        <sz val="8"/>
        <rFont val="Times New Roman"/>
        <family val="1"/>
      </rPr>
      <t>HRA/CCA (-) LWA</t>
    </r>
  </si>
  <si>
    <r>
      <t>DRAWN</t>
    </r>
    <r>
      <rPr>
        <b/>
        <sz val="8"/>
        <color indexed="12"/>
        <rFont val="Times New Roman"/>
        <family val="1"/>
      </rPr>
      <t xml:space="preserve"> </t>
    </r>
    <r>
      <rPr>
        <sz val="8"/>
        <rFont val="Times New Roman"/>
        <family val="1"/>
      </rPr>
      <t>Total (-) LWA</t>
    </r>
  </si>
  <si>
    <r>
      <t>DRAWN</t>
    </r>
    <r>
      <rPr>
        <b/>
        <sz val="8"/>
        <color indexed="12"/>
        <rFont val="Times New Roman"/>
        <family val="1"/>
      </rPr>
      <t xml:space="preserve"> </t>
    </r>
    <r>
      <rPr>
        <sz val="8"/>
        <rFont val="Times New Roman"/>
        <family val="1"/>
      </rPr>
      <t>BP+50%DA</t>
    </r>
  </si>
  <si>
    <r>
      <t>DRAWN</t>
    </r>
    <r>
      <rPr>
        <b/>
        <sz val="8"/>
        <color indexed="12"/>
        <rFont val="Times New Roman"/>
        <family val="1"/>
      </rPr>
      <t xml:space="preserve"> </t>
    </r>
    <r>
      <rPr>
        <sz val="8"/>
        <rFont val="Times New Roman"/>
        <family val="1"/>
      </rPr>
      <t>65%(BP+DA)</t>
    </r>
  </si>
  <si>
    <r>
      <t>DRAWN</t>
    </r>
    <r>
      <rPr>
        <b/>
        <sz val="8"/>
        <color indexed="12"/>
        <rFont val="Times New Roman"/>
        <family val="1"/>
      </rPr>
      <t xml:space="preserve"> </t>
    </r>
    <r>
      <rPr>
        <sz val="8"/>
        <rFont val="Times New Roman"/>
        <family val="1"/>
      </rPr>
      <t>BP(-)  [LWA+HPL] Incl HRA/CCA</t>
    </r>
  </si>
  <si>
    <r>
      <t>DRAWN</t>
    </r>
    <r>
      <rPr>
        <sz val="8"/>
        <rFont val="Times New Roman"/>
        <family val="1"/>
      </rPr>
      <t xml:space="preserve"> BP(-)  [LWA+HPL] Incl HRA/CCA -&gt;6500/     10790/-</t>
    </r>
  </si>
  <si>
    <r>
      <t>DUE</t>
    </r>
    <r>
      <rPr>
        <sz val="10"/>
        <rFont val="Times New Roman"/>
        <family val="1"/>
      </rPr>
      <t xml:space="preserve">     HRA calc</t>
    </r>
  </si>
  <si>
    <r>
      <t>DUE</t>
    </r>
    <r>
      <rPr>
        <sz val="10"/>
        <rFont val="Times New Roman"/>
        <family val="1"/>
      </rPr>
      <t xml:space="preserve">  Pre-rev-HRA</t>
    </r>
  </si>
  <si>
    <r>
      <t>DUE</t>
    </r>
    <r>
      <rPr>
        <sz val="10"/>
        <rFont val="Times New Roman"/>
        <family val="1"/>
      </rPr>
      <t xml:space="preserve">  Rev -HRA</t>
    </r>
  </si>
  <si>
    <r>
      <t>DUE</t>
    </r>
    <r>
      <rPr>
        <sz val="10"/>
        <rFont val="Times New Roman"/>
        <family val="1"/>
      </rPr>
      <t xml:space="preserve"> DA (Gross)</t>
    </r>
  </si>
  <si>
    <r>
      <t>DRAWN</t>
    </r>
    <r>
      <rPr>
        <sz val="10"/>
        <rFont val="Times New Roman"/>
        <family val="1"/>
      </rPr>
      <t xml:space="preserve"> DA (Gross)</t>
    </r>
  </si>
  <si>
    <r>
      <t>DUE</t>
    </r>
    <r>
      <rPr>
        <sz val="8"/>
        <rFont val="Times New Roman"/>
        <family val="1"/>
      </rPr>
      <t xml:space="preserve"> BP(-)  [LWA+HPL] Incl HRA/CCA -</t>
    </r>
    <r>
      <rPr>
        <b/>
        <sz val="8"/>
        <color indexed="12"/>
        <rFont val="Times New Roman"/>
        <family val="1"/>
      </rPr>
      <t>&gt;</t>
    </r>
    <r>
      <rPr>
        <sz val="8"/>
        <rFont val="Times New Roman"/>
        <family val="1"/>
      </rPr>
      <t>6500/     10790/-</t>
    </r>
  </si>
  <si>
    <r>
      <t xml:space="preserve">DUE </t>
    </r>
    <r>
      <rPr>
        <b/>
        <sz val="8"/>
        <color indexed="8"/>
        <rFont val="Times New Roman"/>
        <family val="1"/>
      </rPr>
      <t>50%</t>
    </r>
    <r>
      <rPr>
        <sz val="8"/>
        <color indexed="8"/>
        <rFont val="Times New Roman"/>
        <family val="1"/>
      </rPr>
      <t>BP+DA</t>
    </r>
  </si>
  <si>
    <r>
      <t>DUE</t>
    </r>
    <r>
      <rPr>
        <sz val="8"/>
        <rFont val="Times New Roman"/>
        <family val="1"/>
      </rPr>
      <t xml:space="preserve"> BP(-)  [LWA+HPL] Incl HRA/CCA -</t>
    </r>
    <r>
      <rPr>
        <b/>
        <sz val="8"/>
        <color indexed="12"/>
        <rFont val="Times New Roman"/>
        <family val="1"/>
      </rPr>
      <t>&lt;</t>
    </r>
    <r>
      <rPr>
        <sz val="8"/>
        <rFont val="Times New Roman"/>
        <family val="1"/>
      </rPr>
      <t>6500/     10790/-(AK&gt;AL)</t>
    </r>
  </si>
  <si>
    <r>
      <t>DUE</t>
    </r>
    <r>
      <rPr>
        <sz val="8"/>
        <rFont val="Times New Roman"/>
        <family val="1"/>
      </rPr>
      <t xml:space="preserve"> BP(-)  [LWA+HPL] Incl HRA/CCA -</t>
    </r>
    <r>
      <rPr>
        <b/>
        <sz val="8"/>
        <color indexed="12"/>
        <rFont val="Times New Roman"/>
        <family val="1"/>
      </rPr>
      <t>&lt;</t>
    </r>
    <r>
      <rPr>
        <sz val="8"/>
        <rFont val="Times New Roman"/>
        <family val="1"/>
      </rPr>
      <t>6500/     10790/-(AK&lt;AL)</t>
    </r>
  </si>
  <si>
    <r>
      <t>DRAWN</t>
    </r>
    <r>
      <rPr>
        <sz val="8"/>
        <rFont val="Times New Roman"/>
        <family val="1"/>
      </rPr>
      <t xml:space="preserve"> BP(-)  [LWA+HPL] Incl HRA/CCA -</t>
    </r>
    <r>
      <rPr>
        <b/>
        <sz val="8"/>
        <color indexed="12"/>
        <rFont val="Times New Roman"/>
        <family val="1"/>
      </rPr>
      <t>&lt;</t>
    </r>
    <r>
      <rPr>
        <sz val="8"/>
        <rFont val="Times New Roman"/>
        <family val="1"/>
      </rPr>
      <t>6500/     10790/-(AK&lt;AL)</t>
    </r>
  </si>
  <si>
    <r>
      <t xml:space="preserve">Please ensure that data relating to </t>
    </r>
    <r>
      <rPr>
        <b/>
        <u val="single"/>
        <sz val="9"/>
        <rFont val="Times New Roman"/>
        <family val="1"/>
      </rPr>
      <t>EL Surrender, Dies-non,LWA</t>
    </r>
    <r>
      <rPr>
        <u val="single"/>
        <sz val="9"/>
        <rFont val="Times New Roman"/>
        <family val="1"/>
      </rPr>
      <t xml:space="preserve"> </t>
    </r>
    <r>
      <rPr>
        <b/>
        <u val="single"/>
        <sz val="9"/>
        <rFont val="Times New Roman"/>
        <family val="1"/>
      </rPr>
      <t>and HPL</t>
    </r>
    <r>
      <rPr>
        <sz val="9"/>
        <rFont val="Times New Roman"/>
        <family val="1"/>
      </rPr>
      <t xml:space="preserve"> are correctly filled up after proper verification, in order to ensure correct arrear computation.</t>
    </r>
  </si>
  <si>
    <t>Smt.</t>
  </si>
  <si>
    <t>Mrs.</t>
  </si>
  <si>
    <t>Ms.</t>
  </si>
  <si>
    <t>Sri.</t>
  </si>
  <si>
    <t>Mr.</t>
  </si>
  <si>
    <t>Dr.</t>
  </si>
  <si>
    <r>
      <t xml:space="preserve">The </t>
    </r>
    <r>
      <rPr>
        <b/>
        <u val="single"/>
        <sz val="9"/>
        <rFont val="Times New Roman"/>
        <family val="1"/>
      </rPr>
      <t>second</t>
    </r>
    <r>
      <rPr>
        <u val="single"/>
        <sz val="9"/>
        <rFont val="Times New Roman"/>
        <family val="1"/>
      </rPr>
      <t xml:space="preserve"> </t>
    </r>
    <r>
      <rPr>
        <sz val="9"/>
        <rFont val="Times New Roman"/>
        <family val="1"/>
      </rPr>
      <t>sheet gives an illustration regarding the point at Sl No.</t>
    </r>
    <r>
      <rPr>
        <b/>
        <sz val="9"/>
        <rFont val="Times New Roman"/>
        <family val="1"/>
      </rPr>
      <t xml:space="preserve"> 8</t>
    </r>
    <r>
      <rPr>
        <sz val="9"/>
        <rFont val="Times New Roman"/>
        <family val="1"/>
      </rPr>
      <t xml:space="preserve"> below.</t>
    </r>
  </si>
  <si>
    <t>GENL DETAILS</t>
  </si>
  <si>
    <r>
      <t xml:space="preserve">The </t>
    </r>
    <r>
      <rPr>
        <b/>
        <u val="single"/>
        <sz val="9"/>
        <rFont val="Times New Roman"/>
        <family val="1"/>
      </rPr>
      <t xml:space="preserve">third </t>
    </r>
    <r>
      <rPr>
        <sz val="9"/>
        <rFont val="Times New Roman"/>
        <family val="1"/>
      </rPr>
      <t>sheet "</t>
    </r>
    <r>
      <rPr>
        <b/>
        <sz val="9"/>
        <color indexed="17"/>
        <rFont val="Times New Roman"/>
        <family val="1"/>
      </rPr>
      <t>5%(7-06) &amp; 6%(1-07)</t>
    </r>
    <r>
      <rPr>
        <sz val="9"/>
        <rFont val="Times New Roman"/>
        <family val="1"/>
      </rPr>
      <t xml:space="preserve">"is for computing DA arrears @ </t>
    </r>
    <r>
      <rPr>
        <b/>
        <sz val="9"/>
        <color indexed="12"/>
        <rFont val="Times New Roman"/>
        <family val="1"/>
      </rPr>
      <t>79%</t>
    </r>
    <r>
      <rPr>
        <sz val="9"/>
        <rFont val="Times New Roman"/>
        <family val="1"/>
      </rPr>
      <t xml:space="preserve"> </t>
    </r>
    <r>
      <rPr>
        <b/>
        <sz val="9"/>
        <color indexed="14"/>
        <rFont val="Times New Roman"/>
        <family val="1"/>
      </rPr>
      <t>wef 1-7-06</t>
    </r>
    <r>
      <rPr>
        <sz val="9"/>
        <rFont val="Times New Roman"/>
        <family val="1"/>
      </rPr>
      <t xml:space="preserve"> &amp; </t>
    </r>
    <r>
      <rPr>
        <b/>
        <sz val="9"/>
        <color indexed="12"/>
        <rFont val="Times New Roman"/>
        <family val="1"/>
      </rPr>
      <t>85%</t>
    </r>
    <r>
      <rPr>
        <sz val="9"/>
        <rFont val="Times New Roman"/>
        <family val="1"/>
      </rPr>
      <t xml:space="preserve"> </t>
    </r>
    <r>
      <rPr>
        <b/>
        <sz val="9"/>
        <color indexed="14"/>
        <rFont val="Times New Roman"/>
        <family val="1"/>
      </rPr>
      <t>wef 1-1-07</t>
    </r>
    <r>
      <rPr>
        <sz val="9"/>
        <rFont val="Times New Roman"/>
        <family val="1"/>
      </rPr>
      <t xml:space="preserve"> (</t>
    </r>
    <r>
      <rPr>
        <b/>
        <sz val="9"/>
        <rFont val="Times New Roman"/>
        <family val="1"/>
      </rPr>
      <t>pre-revised</t>
    </r>
    <r>
      <rPr>
        <sz val="9"/>
        <rFont val="Times New Roman"/>
        <family val="1"/>
      </rPr>
      <t xml:space="preserve"> scale) </t>
    </r>
    <r>
      <rPr>
        <b/>
        <sz val="9"/>
        <rFont val="Times New Roman"/>
        <family val="1"/>
      </rPr>
      <t>AND</t>
    </r>
    <r>
      <rPr>
        <sz val="9"/>
        <rFont val="Times New Roman"/>
        <family val="1"/>
      </rPr>
      <t xml:space="preserve"> </t>
    </r>
    <r>
      <rPr>
        <b/>
        <sz val="9"/>
        <color indexed="12"/>
        <rFont val="Times New Roman"/>
        <family val="1"/>
      </rPr>
      <t>20%</t>
    </r>
    <r>
      <rPr>
        <sz val="9"/>
        <rFont val="Times New Roman"/>
        <family val="1"/>
      </rPr>
      <t xml:space="preserve"> </t>
    </r>
    <r>
      <rPr>
        <b/>
        <sz val="9"/>
        <color indexed="14"/>
        <rFont val="Times New Roman"/>
        <family val="1"/>
      </rPr>
      <t>wef 1-7-06</t>
    </r>
    <r>
      <rPr>
        <sz val="9"/>
        <rFont val="Times New Roman"/>
        <family val="1"/>
      </rPr>
      <t xml:space="preserve"> &amp; </t>
    </r>
    <r>
      <rPr>
        <b/>
        <sz val="9"/>
        <color indexed="12"/>
        <rFont val="Times New Roman"/>
        <family val="1"/>
      </rPr>
      <t xml:space="preserve">26% </t>
    </r>
    <r>
      <rPr>
        <b/>
        <sz val="9"/>
        <color indexed="14"/>
        <rFont val="Times New Roman"/>
        <family val="1"/>
      </rPr>
      <t>wef 1-1-07</t>
    </r>
    <r>
      <rPr>
        <sz val="9"/>
        <rFont val="Times New Roman"/>
        <family val="1"/>
      </rPr>
      <t xml:space="preserve"> (</t>
    </r>
    <r>
      <rPr>
        <b/>
        <sz val="9"/>
        <rFont val="Times New Roman"/>
        <family val="1"/>
      </rPr>
      <t>revised</t>
    </r>
    <r>
      <rPr>
        <sz val="9"/>
        <rFont val="Times New Roman"/>
        <family val="1"/>
      </rPr>
      <t xml:space="preserve"> scale) for the </t>
    </r>
    <r>
      <rPr>
        <u val="single"/>
        <sz val="9"/>
        <color indexed="12"/>
        <rFont val="Times New Roman"/>
        <family val="1"/>
      </rPr>
      <t>State pay scale</t>
    </r>
    <r>
      <rPr>
        <sz val="9"/>
        <rFont val="Times New Roman"/>
        <family val="1"/>
      </rPr>
      <t xml:space="preserve"> holders </t>
    </r>
    <r>
      <rPr>
        <b/>
        <sz val="9"/>
        <rFont val="Times New Roman"/>
        <family val="1"/>
      </rPr>
      <t>AND</t>
    </r>
    <r>
      <rPr>
        <sz val="9"/>
        <rFont val="Times New Roman"/>
        <family val="1"/>
      </rPr>
      <t xml:space="preserve"> @</t>
    </r>
    <r>
      <rPr>
        <b/>
        <sz val="9"/>
        <color indexed="10"/>
        <rFont val="Times New Roman"/>
        <family val="1"/>
      </rPr>
      <t>29%</t>
    </r>
    <r>
      <rPr>
        <sz val="9"/>
        <rFont val="Times New Roman"/>
        <family val="1"/>
      </rPr>
      <t xml:space="preserve"> </t>
    </r>
    <r>
      <rPr>
        <b/>
        <sz val="9"/>
        <color indexed="16"/>
        <rFont val="Times New Roman"/>
        <family val="1"/>
      </rPr>
      <t>wef 1-7-06</t>
    </r>
    <r>
      <rPr>
        <sz val="9"/>
        <rFont val="Times New Roman"/>
        <family val="1"/>
      </rPr>
      <t xml:space="preserve"> &amp; </t>
    </r>
    <r>
      <rPr>
        <b/>
        <sz val="9"/>
        <color indexed="10"/>
        <rFont val="Times New Roman"/>
        <family val="1"/>
      </rPr>
      <t>35%</t>
    </r>
    <r>
      <rPr>
        <sz val="9"/>
        <rFont val="Times New Roman"/>
        <family val="1"/>
      </rPr>
      <t xml:space="preserve"> </t>
    </r>
    <r>
      <rPr>
        <b/>
        <sz val="9"/>
        <color indexed="16"/>
        <rFont val="Times New Roman"/>
        <family val="1"/>
      </rPr>
      <t>wef 1-1-07</t>
    </r>
    <r>
      <rPr>
        <sz val="9"/>
        <rFont val="Times New Roman"/>
        <family val="1"/>
      </rPr>
      <t xml:space="preserve"> for </t>
    </r>
    <r>
      <rPr>
        <u val="single"/>
        <sz val="9"/>
        <color indexed="10"/>
        <rFont val="Times New Roman"/>
        <family val="1"/>
      </rPr>
      <t>UGC/AICTE scale</t>
    </r>
    <r>
      <rPr>
        <sz val="9"/>
        <rFont val="Times New Roman"/>
        <family val="1"/>
      </rPr>
      <t xml:space="preserve"> holders.  </t>
    </r>
  </si>
  <si>
    <t>MID-MONTH PAY CHANGES</t>
  </si>
  <si>
    <r>
      <t>This excel file contains 3</t>
    </r>
    <r>
      <rPr>
        <b/>
        <sz val="9"/>
        <rFont val="Times New Roman"/>
        <family val="1"/>
      </rPr>
      <t xml:space="preserve"> </t>
    </r>
    <r>
      <rPr>
        <sz val="9"/>
        <rFont val="Times New Roman"/>
        <family val="1"/>
      </rPr>
      <t xml:space="preserve">sheets </t>
    </r>
    <r>
      <rPr>
        <u val="single"/>
        <sz val="9"/>
        <rFont val="Times New Roman"/>
        <family val="1"/>
      </rPr>
      <t>including this sheet</t>
    </r>
    <r>
      <rPr>
        <sz val="9"/>
        <rFont val="Times New Roman"/>
        <family val="1"/>
      </rPr>
      <t xml:space="preserve"> (INSTRUCTIONS), each of which are self-explanatory from the concerned Title. </t>
    </r>
  </si>
  <si>
    <t>IF(OR(E35&lt;&gt;"",E36&lt;&gt;""), "Month not filled up in some cell in Col (A)", IF(E37&lt;&gt;"","Month not filled up in some cell in Col (A)",SUM(K28+T28)))</t>
  </si>
  <si>
    <t>U-96</t>
  </si>
  <si>
    <t>U-06</t>
  </si>
  <si>
    <r>
      <t>Total (</t>
    </r>
    <r>
      <rPr>
        <b/>
        <u val="single"/>
        <sz val="9"/>
        <color indexed="12"/>
        <rFont val="Times New Roman"/>
        <family val="1"/>
      </rPr>
      <t>Net</t>
    </r>
    <r>
      <rPr>
        <b/>
        <sz val="9"/>
        <color indexed="12"/>
        <rFont val="Times New Roman"/>
        <family val="1"/>
      </rPr>
      <t xml:space="preserve"> of LWA/DN/HPL</t>
    </r>
    <r>
      <rPr>
        <b/>
        <sz val="9"/>
        <rFont val="Times New Roman"/>
        <family val="1"/>
      </rPr>
      <t xml:space="preserve">)    </t>
    </r>
  </si>
  <si>
    <r>
      <t>Total (</t>
    </r>
    <r>
      <rPr>
        <b/>
        <u val="single"/>
        <sz val="9"/>
        <color indexed="10"/>
        <rFont val="Times New Roman"/>
        <family val="1"/>
      </rPr>
      <t>Net</t>
    </r>
    <r>
      <rPr>
        <b/>
        <sz val="9"/>
        <color indexed="10"/>
        <rFont val="Times New Roman"/>
        <family val="1"/>
      </rPr>
      <t xml:space="preserve"> of LWA/DN/HPL</t>
    </r>
    <r>
      <rPr>
        <b/>
        <sz val="9"/>
        <rFont val="Times New Roman"/>
        <family val="1"/>
      </rPr>
      <t xml:space="preserve">)    </t>
    </r>
  </si>
  <si>
    <r>
      <t xml:space="preserve">PLEASE ALSO READ ALL THE </t>
    </r>
    <r>
      <rPr>
        <b/>
        <u val="single"/>
        <sz val="10"/>
        <color indexed="10"/>
        <rFont val="Arial"/>
        <family val="2"/>
      </rPr>
      <t>REMARKS</t>
    </r>
    <r>
      <rPr>
        <b/>
        <sz val="10"/>
        <color indexed="12"/>
        <rFont val="Arial"/>
        <family val="2"/>
      </rPr>
      <t xml:space="preserve"> GIVEN IN THE VARIOUS CELLS IN THE ARREAR CALCULATION SHEET</t>
    </r>
  </si>
  <si>
    <r>
      <t xml:space="preserve">PLEASE NOTE THAT </t>
    </r>
    <r>
      <rPr>
        <b/>
        <sz val="12"/>
        <color indexed="10"/>
        <rFont val="Arial"/>
        <family val="2"/>
      </rPr>
      <t>HRA/CAMPUS ALLOWANCE</t>
    </r>
    <r>
      <rPr>
        <b/>
        <sz val="12"/>
        <rFont val="Arial"/>
        <family val="2"/>
      </rPr>
      <t xml:space="preserve"> </t>
    </r>
    <r>
      <rPr>
        <b/>
        <sz val="10"/>
        <rFont val="Arial"/>
        <family val="2"/>
      </rPr>
      <t>(Col 10)</t>
    </r>
    <r>
      <rPr>
        <b/>
        <sz val="12"/>
        <rFont val="Arial"/>
        <family val="2"/>
      </rPr>
      <t xml:space="preserve"> AND </t>
    </r>
    <r>
      <rPr>
        <b/>
        <sz val="12"/>
        <color indexed="10"/>
        <rFont val="Arial"/>
        <family val="2"/>
      </rPr>
      <t>CCA</t>
    </r>
    <r>
      <rPr>
        <b/>
        <sz val="12"/>
        <rFont val="Arial"/>
        <family val="2"/>
      </rPr>
      <t xml:space="preserve"> </t>
    </r>
    <r>
      <rPr>
        <b/>
        <sz val="10"/>
        <rFont val="Arial"/>
        <family val="2"/>
      </rPr>
      <t>(Col 11)</t>
    </r>
    <r>
      <rPr>
        <b/>
        <sz val="12"/>
        <rFont val="Arial"/>
        <family val="2"/>
      </rPr>
      <t xml:space="preserve"> IN THE ARREAR CALCULATION SHEET ARE </t>
    </r>
    <r>
      <rPr>
        <b/>
        <sz val="12"/>
        <color indexed="10"/>
        <rFont val="Arial"/>
        <family val="2"/>
      </rPr>
      <t xml:space="preserve">TO BE </t>
    </r>
    <r>
      <rPr>
        <b/>
        <u val="single"/>
        <sz val="12"/>
        <color indexed="10"/>
        <rFont val="Arial"/>
        <family val="2"/>
      </rPr>
      <t>MANUALLY</t>
    </r>
    <r>
      <rPr>
        <b/>
        <sz val="12"/>
        <color indexed="10"/>
        <rFont val="Arial"/>
        <family val="2"/>
      </rPr>
      <t xml:space="preserve"> FILLED UP</t>
    </r>
  </si>
  <si>
    <t xml:space="preserve">Total Arrears </t>
  </si>
  <si>
    <t>hIhEALS=9.35+SO</t>
  </si>
  <si>
    <t>S-04</t>
  </si>
  <si>
    <t>S-10</t>
  </si>
  <si>
    <t xml:space="preserve"> AGP / Pers/Spl etc. pay which counts for DA </t>
  </si>
  <si>
    <r>
      <t xml:space="preserve"> The </t>
    </r>
    <r>
      <rPr>
        <b/>
        <u val="single"/>
        <sz val="9"/>
        <rFont val="Times New Roman"/>
        <family val="1"/>
      </rPr>
      <t xml:space="preserve">third </t>
    </r>
    <r>
      <rPr>
        <sz val="9"/>
        <rFont val="Times New Roman"/>
        <family val="1"/>
      </rPr>
      <t>sheet "</t>
    </r>
    <r>
      <rPr>
        <b/>
        <sz val="9"/>
        <color indexed="17"/>
        <rFont val="Times New Roman"/>
        <family val="1"/>
      </rPr>
      <t xml:space="preserve"> 7%(Jul -2012)</t>
    </r>
    <r>
      <rPr>
        <sz val="9"/>
        <rFont val="Times New Roman"/>
        <family val="1"/>
      </rPr>
      <t xml:space="preserve">"is for computing </t>
    </r>
    <r>
      <rPr>
        <b/>
        <sz val="11"/>
        <rFont val="Times New Roman"/>
        <family val="1"/>
      </rPr>
      <t>DA arrears wef 1-7-2012</t>
    </r>
    <r>
      <rPr>
        <sz val="9"/>
        <rFont val="Times New Roman"/>
        <family val="1"/>
      </rPr>
      <t xml:space="preserve"> :  @ </t>
    </r>
    <r>
      <rPr>
        <b/>
        <sz val="9"/>
        <color indexed="12"/>
        <rFont val="Times New Roman"/>
        <family val="1"/>
      </rPr>
      <t>142%</t>
    </r>
    <r>
      <rPr>
        <sz val="9"/>
        <rFont val="Times New Roman"/>
        <family val="1"/>
      </rPr>
      <t xml:space="preserve"> (for </t>
    </r>
    <r>
      <rPr>
        <b/>
        <sz val="9"/>
        <color indexed="12"/>
        <rFont val="Times New Roman"/>
        <family val="1"/>
      </rPr>
      <t>State</t>
    </r>
    <r>
      <rPr>
        <sz val="9"/>
        <rFont val="Times New Roman"/>
        <family val="1"/>
      </rPr>
      <t xml:space="preserve">-2004 scale) &amp; </t>
    </r>
    <r>
      <rPr>
        <b/>
        <sz val="9"/>
        <color indexed="12"/>
        <rFont val="Times New Roman"/>
        <family val="1"/>
      </rPr>
      <t>45</t>
    </r>
    <r>
      <rPr>
        <b/>
        <sz val="9"/>
        <color indexed="12"/>
        <rFont val="Times New Roman"/>
        <family val="1"/>
      </rPr>
      <t>%</t>
    </r>
    <r>
      <rPr>
        <b/>
        <sz val="9"/>
        <color indexed="14"/>
        <rFont val="Times New Roman"/>
        <family val="1"/>
      </rPr>
      <t xml:space="preserve"> </t>
    </r>
    <r>
      <rPr>
        <sz val="9"/>
        <rFont val="Times New Roman"/>
        <family val="1"/>
      </rPr>
      <t xml:space="preserve">(for </t>
    </r>
    <r>
      <rPr>
        <b/>
        <sz val="9"/>
        <color indexed="12"/>
        <rFont val="Times New Roman"/>
        <family val="1"/>
      </rPr>
      <t>State</t>
    </r>
    <r>
      <rPr>
        <sz val="9"/>
        <rFont val="Times New Roman"/>
        <family val="1"/>
      </rPr>
      <t xml:space="preserve">-2010 scale) </t>
    </r>
    <r>
      <rPr>
        <b/>
        <sz val="9"/>
        <rFont val="Times New Roman"/>
        <family val="1"/>
      </rPr>
      <t>AND</t>
    </r>
    <r>
      <rPr>
        <sz val="9"/>
        <rFont val="Times New Roman"/>
        <family val="1"/>
      </rPr>
      <t xml:space="preserve">  @</t>
    </r>
    <r>
      <rPr>
        <sz val="9"/>
        <color indexed="10"/>
        <rFont val="Times New Roman"/>
        <family val="1"/>
      </rPr>
      <t xml:space="preserve"> </t>
    </r>
    <r>
      <rPr>
        <b/>
        <sz val="9"/>
        <color indexed="10"/>
        <rFont val="Times New Roman"/>
        <family val="1"/>
      </rPr>
      <t>151%</t>
    </r>
    <r>
      <rPr>
        <b/>
        <sz val="9"/>
        <color indexed="14"/>
        <rFont val="Times New Roman"/>
        <family val="1"/>
      </rPr>
      <t xml:space="preserve"> </t>
    </r>
    <r>
      <rPr>
        <sz val="9"/>
        <color indexed="14"/>
        <rFont val="Times New Roman"/>
        <family val="1"/>
      </rPr>
      <t>(</t>
    </r>
    <r>
      <rPr>
        <sz val="9"/>
        <color indexed="10"/>
        <rFont val="Times New Roman"/>
        <family val="1"/>
      </rPr>
      <t xml:space="preserve">for </t>
    </r>
    <r>
      <rPr>
        <b/>
        <u val="single"/>
        <sz val="9"/>
        <rFont val="Times New Roman"/>
        <family val="1"/>
      </rPr>
      <t>UGC/AICTE-</t>
    </r>
    <r>
      <rPr>
        <b/>
        <u val="single"/>
        <sz val="9"/>
        <color indexed="10"/>
        <rFont val="Times New Roman"/>
        <family val="1"/>
      </rPr>
      <t>1996</t>
    </r>
    <r>
      <rPr>
        <sz val="9"/>
        <rFont val="Times New Roman"/>
        <family val="1"/>
      </rPr>
      <t xml:space="preserve"> scale) &amp; @</t>
    </r>
    <r>
      <rPr>
        <b/>
        <sz val="9"/>
        <color indexed="10"/>
        <rFont val="Times New Roman"/>
        <family val="1"/>
      </rPr>
      <t>72</t>
    </r>
    <r>
      <rPr>
        <b/>
        <sz val="9"/>
        <color indexed="10"/>
        <rFont val="Times New Roman"/>
        <family val="1"/>
      </rPr>
      <t>%</t>
    </r>
    <r>
      <rPr>
        <sz val="9"/>
        <rFont val="Times New Roman"/>
        <family val="1"/>
      </rPr>
      <t xml:space="preserve"> (for </t>
    </r>
    <r>
      <rPr>
        <b/>
        <u val="single"/>
        <sz val="9"/>
        <rFont val="Times New Roman"/>
        <family val="1"/>
      </rPr>
      <t>UGC/AICTE -</t>
    </r>
    <r>
      <rPr>
        <b/>
        <u val="single"/>
        <sz val="9"/>
        <color indexed="10"/>
        <rFont val="Times New Roman"/>
        <family val="1"/>
      </rPr>
      <t>2006</t>
    </r>
    <r>
      <rPr>
        <sz val="9"/>
        <color indexed="10"/>
        <rFont val="Times New Roman"/>
        <family val="1"/>
      </rPr>
      <t xml:space="preserve"> </t>
    </r>
    <r>
      <rPr>
        <sz val="9"/>
        <rFont val="Times New Roman"/>
        <family val="1"/>
      </rPr>
      <t>scale).</t>
    </r>
  </si>
  <si>
    <r>
      <t>STATEMENT OF ARREARS CONSEQUENT TO INCREASE OF DA (7/12%) WEF 1-7-2012 [142</t>
    </r>
    <r>
      <rPr>
        <b/>
        <u val="single"/>
        <sz val="10"/>
        <rFont val="Times New Roman"/>
        <family val="1"/>
      </rPr>
      <t>%-(State-2004) / 45% (State-2010) / 151%-(UGC-1996)</t>
    </r>
    <r>
      <rPr>
        <b/>
        <u val="single"/>
        <sz val="12"/>
        <rFont val="Times New Roman"/>
        <family val="1"/>
      </rPr>
      <t>/ 72</t>
    </r>
    <r>
      <rPr>
        <b/>
        <u val="single"/>
        <sz val="10"/>
        <rFont val="Times New Roman"/>
        <family val="1"/>
      </rPr>
      <t>%</t>
    </r>
    <r>
      <rPr>
        <b/>
        <u val="single"/>
        <sz val="12"/>
        <rFont val="Times New Roman"/>
        <family val="1"/>
      </rPr>
      <t xml:space="preserve"> (</t>
    </r>
    <r>
      <rPr>
        <b/>
        <u val="single"/>
        <sz val="10"/>
        <rFont val="Times New Roman"/>
        <family val="1"/>
      </rPr>
      <t>UGC-2006)]</t>
    </r>
  </si>
  <si>
    <r>
      <t xml:space="preserve">DA @ </t>
    </r>
    <r>
      <rPr>
        <b/>
        <sz val="8"/>
        <color indexed="12"/>
        <rFont val="Times New Roman"/>
        <family val="1"/>
      </rPr>
      <t>130/38%</t>
    </r>
    <r>
      <rPr>
        <b/>
        <sz val="8"/>
        <rFont val="Times New Roman"/>
        <family val="1"/>
      </rPr>
      <t xml:space="preserve"> (</t>
    </r>
    <r>
      <rPr>
        <b/>
        <sz val="8"/>
        <color indexed="12"/>
        <rFont val="Times New Roman"/>
        <family val="1"/>
      </rPr>
      <t>State</t>
    </r>
    <r>
      <rPr>
        <b/>
        <sz val="8"/>
        <rFont val="Times New Roman"/>
        <family val="1"/>
      </rPr>
      <t xml:space="preserve">) or </t>
    </r>
    <r>
      <rPr>
        <b/>
        <sz val="8"/>
        <color indexed="10"/>
        <rFont val="Times New Roman"/>
        <family val="1"/>
      </rPr>
      <t>139/65%</t>
    </r>
    <r>
      <rPr>
        <b/>
        <sz val="8"/>
        <rFont val="Times New Roman"/>
        <family val="1"/>
      </rPr>
      <t xml:space="preserve"> (</t>
    </r>
    <r>
      <rPr>
        <b/>
        <sz val="8"/>
        <color indexed="10"/>
        <rFont val="Times New Roman"/>
        <family val="1"/>
      </rPr>
      <t>UGC</t>
    </r>
    <r>
      <rPr>
        <b/>
        <sz val="8"/>
        <rFont val="Times New Roman"/>
        <family val="1"/>
      </rPr>
      <t>) of Col (13 to 15)</t>
    </r>
  </si>
  <si>
    <r>
      <t xml:space="preserve">DA @ </t>
    </r>
    <r>
      <rPr>
        <b/>
        <sz val="8"/>
        <color indexed="12"/>
        <rFont val="Times New Roman"/>
        <family val="1"/>
      </rPr>
      <t>142/45%</t>
    </r>
    <r>
      <rPr>
        <b/>
        <sz val="8"/>
        <rFont val="Times New Roman"/>
        <family val="1"/>
      </rPr>
      <t xml:space="preserve"> (</t>
    </r>
    <r>
      <rPr>
        <b/>
        <sz val="8"/>
        <color indexed="12"/>
        <rFont val="Times New Roman"/>
        <family val="1"/>
      </rPr>
      <t>State</t>
    </r>
    <r>
      <rPr>
        <b/>
        <sz val="8"/>
        <rFont val="Times New Roman"/>
        <family val="1"/>
      </rPr>
      <t xml:space="preserve">) or </t>
    </r>
    <r>
      <rPr>
        <b/>
        <sz val="8"/>
        <color indexed="10"/>
        <rFont val="Times New Roman"/>
        <family val="1"/>
      </rPr>
      <t>151/72%</t>
    </r>
    <r>
      <rPr>
        <b/>
        <sz val="8"/>
        <rFont val="Times New Roman"/>
        <family val="1"/>
      </rPr>
      <t xml:space="preserve"> (</t>
    </r>
    <r>
      <rPr>
        <b/>
        <sz val="8"/>
        <color indexed="10"/>
        <rFont val="Times New Roman"/>
        <family val="1"/>
      </rPr>
      <t>UGC</t>
    </r>
    <r>
      <rPr>
        <b/>
        <sz val="8"/>
        <rFont val="Times New Roman"/>
        <family val="1"/>
      </rPr>
      <t>) of Col (6 to 8)</t>
    </r>
  </si>
  <si>
    <r>
      <t>·</t>
    </r>
    <r>
      <rPr>
        <sz val="10"/>
        <rFont val="Times New Roman"/>
        <family val="1"/>
      </rPr>
      <t>        Basic pay as on 1-8-2012 (before promotion)                          ------------------ Rs.20700/-</t>
    </r>
  </si>
  <si>
    <r>
      <t>·</t>
    </r>
    <r>
      <rPr>
        <sz val="10"/>
        <rFont val="Times New Roman"/>
        <family val="1"/>
      </rPr>
      <t>        Promoted on                                                                                 ------------------- 9-8-2012</t>
    </r>
  </si>
  <si>
    <r>
      <t>·</t>
    </r>
    <r>
      <rPr>
        <sz val="10"/>
        <rFont val="Times New Roman"/>
        <family val="1"/>
      </rPr>
      <t>        Basic pay as on 9-8-2012 (after promotion)                           ------------------  Rs.21200/-</t>
    </r>
  </si>
  <si>
    <r>
      <t>(</t>
    </r>
    <r>
      <rPr>
        <b/>
        <sz val="10"/>
        <rFont val="Times New Roman"/>
        <family val="1"/>
      </rPr>
      <t>2</t>
    </r>
    <r>
      <rPr>
        <sz val="10"/>
        <rFont val="Times New Roman"/>
        <family val="1"/>
      </rPr>
      <t xml:space="preserve">) The above situation means that, the person draws </t>
    </r>
    <r>
      <rPr>
        <b/>
        <sz val="10"/>
        <color indexed="10"/>
        <rFont val="Times New Roman"/>
        <family val="1"/>
      </rPr>
      <t xml:space="preserve">pre-promotion </t>
    </r>
    <r>
      <rPr>
        <sz val="10"/>
        <rFont val="Times New Roman"/>
        <family val="1"/>
      </rPr>
      <t>pay @ Rs.</t>
    </r>
    <r>
      <rPr>
        <b/>
        <sz val="10"/>
        <color indexed="10"/>
        <rFont val="Times New Roman"/>
        <family val="1"/>
      </rPr>
      <t>20700</t>
    </r>
    <r>
      <rPr>
        <sz val="10"/>
        <rFont val="Times New Roman"/>
        <family val="1"/>
      </rPr>
      <t xml:space="preserve">/- for </t>
    </r>
    <r>
      <rPr>
        <b/>
        <sz val="10"/>
        <color indexed="10"/>
        <rFont val="Times New Roman"/>
        <family val="1"/>
      </rPr>
      <t>8</t>
    </r>
    <r>
      <rPr>
        <sz val="10"/>
        <rFont val="Times New Roman"/>
        <family val="1"/>
      </rPr>
      <t xml:space="preserve"> days and </t>
    </r>
    <r>
      <rPr>
        <sz val="10"/>
        <color indexed="12"/>
        <rFont val="Times New Roman"/>
        <family val="1"/>
      </rPr>
      <t>promoted</t>
    </r>
    <r>
      <rPr>
        <sz val="10"/>
        <rFont val="Times New Roman"/>
        <family val="1"/>
      </rPr>
      <t xml:space="preserve"> pay @ Rs.</t>
    </r>
    <r>
      <rPr>
        <b/>
        <sz val="10"/>
        <color indexed="12"/>
        <rFont val="Times New Roman"/>
        <family val="1"/>
      </rPr>
      <t>21200</t>
    </r>
    <r>
      <rPr>
        <sz val="10"/>
        <rFont val="Times New Roman"/>
        <family val="1"/>
      </rPr>
      <t xml:space="preserve">/- for </t>
    </r>
    <r>
      <rPr>
        <b/>
        <sz val="10"/>
        <color indexed="12"/>
        <rFont val="Times New Roman"/>
        <family val="1"/>
      </rPr>
      <t>23</t>
    </r>
    <r>
      <rPr>
        <sz val="10"/>
        <rFont val="Times New Roman"/>
        <family val="1"/>
      </rPr>
      <t xml:space="preserve"> days in August </t>
    </r>
    <r>
      <rPr>
        <b/>
        <sz val="10"/>
        <rFont val="Times New Roman"/>
        <family val="1"/>
      </rPr>
      <t>2012</t>
    </r>
    <r>
      <rPr>
        <sz val="10"/>
        <rFont val="Times New Roman"/>
        <family val="1"/>
      </rPr>
      <t>.</t>
    </r>
  </si>
  <si>
    <r>
      <t>(</t>
    </r>
    <r>
      <rPr>
        <b/>
        <sz val="10"/>
        <rFont val="Times New Roman"/>
        <family val="1"/>
      </rPr>
      <t>3</t>
    </r>
    <r>
      <rPr>
        <sz val="10"/>
        <rFont val="Times New Roman"/>
        <family val="1"/>
      </rPr>
      <t xml:space="preserve">) To get </t>
    </r>
    <r>
      <rPr>
        <b/>
        <sz val="10"/>
        <rFont val="Times New Roman"/>
        <family val="1"/>
      </rPr>
      <t>correct results</t>
    </r>
    <r>
      <rPr>
        <sz val="10"/>
        <rFont val="Times New Roman"/>
        <family val="1"/>
      </rPr>
      <t xml:space="preserve"> in the Excel sheets, the above data is to be entered in the </t>
    </r>
    <r>
      <rPr>
        <b/>
        <sz val="10"/>
        <rFont val="Times New Roman"/>
        <family val="1"/>
      </rPr>
      <t>"7%(JUL-2012)"</t>
    </r>
    <r>
      <rPr>
        <sz val="10"/>
        <rFont val="Times New Roman"/>
        <family val="1"/>
      </rPr>
      <t xml:space="preserve"> Excel sheets as follows:</t>
    </r>
  </si>
  <si>
    <r>
      <t>For the month of Aug</t>
    </r>
    <r>
      <rPr>
        <b/>
        <sz val="10"/>
        <color indexed="12"/>
        <rFont val="Times New Roman"/>
        <family val="1"/>
      </rPr>
      <t>-12</t>
    </r>
    <r>
      <rPr>
        <sz val="10"/>
        <rFont val="Times New Roman"/>
        <family val="1"/>
      </rPr>
      <t xml:space="preserve">,  in </t>
    </r>
    <r>
      <rPr>
        <b/>
        <sz val="10"/>
        <color indexed="10"/>
        <rFont val="Times New Roman"/>
        <family val="1"/>
      </rPr>
      <t>cell D16</t>
    </r>
    <r>
      <rPr>
        <sz val="10"/>
        <rFont val="Times New Roman"/>
        <family val="1"/>
      </rPr>
      <t xml:space="preserve"> the figure of ‘23’ may be entered as ‘</t>
    </r>
    <r>
      <rPr>
        <b/>
        <sz val="10"/>
        <color indexed="10"/>
        <rFont val="Times New Roman"/>
        <family val="1"/>
      </rPr>
      <t>LWA</t>
    </r>
    <r>
      <rPr>
        <sz val="10"/>
        <rFont val="Times New Roman"/>
        <family val="1"/>
      </rPr>
      <t xml:space="preserve">’ and in </t>
    </r>
    <r>
      <rPr>
        <b/>
        <sz val="10"/>
        <color indexed="17"/>
        <rFont val="Times New Roman"/>
        <family val="1"/>
      </rPr>
      <t>cell F16</t>
    </r>
    <r>
      <rPr>
        <sz val="10"/>
        <color indexed="17"/>
        <rFont val="Times New Roman"/>
        <family val="1"/>
      </rPr>
      <t xml:space="preserve"> </t>
    </r>
    <r>
      <rPr>
        <sz val="10"/>
        <rFont val="Times New Roman"/>
        <family val="1"/>
      </rPr>
      <t xml:space="preserve">the Basic pay may be entered as </t>
    </r>
    <r>
      <rPr>
        <b/>
        <sz val="10"/>
        <color indexed="17"/>
        <rFont val="Times New Roman"/>
        <family val="1"/>
      </rPr>
      <t>‘20700’.</t>
    </r>
  </si>
  <si>
    <r>
      <t xml:space="preserve">In </t>
    </r>
    <r>
      <rPr>
        <b/>
        <sz val="10"/>
        <color indexed="12"/>
        <rFont val="Times New Roman"/>
        <family val="1"/>
      </rPr>
      <t xml:space="preserve">cell A24 </t>
    </r>
    <r>
      <rPr>
        <sz val="10"/>
        <rFont val="Times New Roman"/>
        <family val="1"/>
      </rPr>
      <t>the month ‘</t>
    </r>
    <r>
      <rPr>
        <b/>
        <sz val="10"/>
        <color indexed="12"/>
        <rFont val="Times New Roman"/>
        <family val="1"/>
      </rPr>
      <t>Aug-12</t>
    </r>
    <r>
      <rPr>
        <sz val="10"/>
        <rFont val="Times New Roman"/>
        <family val="1"/>
      </rPr>
      <t xml:space="preserve">’ may be selected. In </t>
    </r>
    <r>
      <rPr>
        <b/>
        <sz val="10"/>
        <color indexed="17"/>
        <rFont val="Times New Roman"/>
        <family val="1"/>
      </rPr>
      <t xml:space="preserve">cell D24 </t>
    </r>
    <r>
      <rPr>
        <sz val="10"/>
        <rFont val="Times New Roman"/>
        <family val="1"/>
      </rPr>
      <t>the figure of ‘</t>
    </r>
    <r>
      <rPr>
        <b/>
        <sz val="10"/>
        <color indexed="17"/>
        <rFont val="Times New Roman"/>
        <family val="1"/>
      </rPr>
      <t>8</t>
    </r>
    <r>
      <rPr>
        <sz val="10"/>
        <rFont val="Times New Roman"/>
        <family val="1"/>
      </rPr>
      <t>’ may be entered as ‘</t>
    </r>
    <r>
      <rPr>
        <b/>
        <sz val="10"/>
        <color indexed="17"/>
        <rFont val="Times New Roman"/>
        <family val="1"/>
      </rPr>
      <t>LWA</t>
    </r>
    <r>
      <rPr>
        <sz val="10"/>
        <rFont val="Times New Roman"/>
        <family val="1"/>
      </rPr>
      <t xml:space="preserve">’ and in </t>
    </r>
    <r>
      <rPr>
        <b/>
        <sz val="10"/>
        <color indexed="16"/>
        <rFont val="Times New Roman"/>
        <family val="1"/>
      </rPr>
      <t xml:space="preserve">cell F24 </t>
    </r>
    <r>
      <rPr>
        <sz val="10"/>
        <rFont val="Times New Roman"/>
        <family val="1"/>
      </rPr>
      <t xml:space="preserve">the </t>
    </r>
    <r>
      <rPr>
        <b/>
        <sz val="10"/>
        <color indexed="16"/>
        <rFont val="Times New Roman"/>
        <family val="1"/>
      </rPr>
      <t>Basic pay</t>
    </r>
    <r>
      <rPr>
        <sz val="10"/>
        <rFont val="Times New Roman"/>
        <family val="1"/>
      </rPr>
      <t xml:space="preserve"> may be entered as ‘</t>
    </r>
    <r>
      <rPr>
        <b/>
        <sz val="10"/>
        <color indexed="16"/>
        <rFont val="Times New Roman"/>
        <family val="1"/>
      </rPr>
      <t>21200</t>
    </r>
    <r>
      <rPr>
        <sz val="10"/>
        <color indexed="16"/>
        <rFont val="Times New Roman"/>
        <family val="1"/>
      </rPr>
      <t>’</t>
    </r>
    <r>
      <rPr>
        <sz val="10"/>
        <rFont val="Times New Roman"/>
        <family val="1"/>
      </rPr>
      <t>.</t>
    </r>
  </si>
</sst>
</file>

<file path=xl/styles.xml><?xml version="1.0" encoding="utf-8"?>
<styleSheet xmlns="http://schemas.openxmlformats.org/spreadsheetml/2006/main">
  <numFmts count="38">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 #,##0_);\(&quot;Rs.&quot;\ #,##0\)"/>
    <numFmt numFmtId="171" formatCode="&quot;Rs.&quot;\ #,##0_);[Red]\(&quot;Rs.&quot;\ #,##0\)"/>
    <numFmt numFmtId="172" formatCode="&quot;Rs.&quot;\ #,##0.00_);\(&quot;Rs.&quot;\ #,##0.00\)"/>
    <numFmt numFmtId="173" formatCode="&quot;Rs.&quot;\ #,##0.00_);[Red]\(&quot;Rs.&quot;\ #,##0.00\)"/>
    <numFmt numFmtId="174" formatCode="_(&quot;Rs.&quot;\ * #,##0_);_(&quot;Rs.&quot;\ * \(#,##0\);_(&quot;Rs.&quot;\ * &quot;-&quot;_);_(@_)"/>
    <numFmt numFmtId="175" formatCode="_(&quot;Rs.&quot;\ * #,##0.00_);_(&quot;Rs.&quot;\ * \(#,##0.00\);_(&quot;Rs.&quot;\ *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409]mmm\-yy;@"/>
    <numFmt numFmtId="185" formatCode="[$-409]d\-mmm\-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dd/mm/yy;@"/>
    <numFmt numFmtId="192" formatCode="[$-409]dddd\,\ mmmm\ dd\,\ yyyy"/>
    <numFmt numFmtId="193" formatCode="[$-409]mmm/yy;@"/>
  </numFmts>
  <fonts count="98">
    <font>
      <sz val="10"/>
      <name val="Arial"/>
      <family val="0"/>
    </font>
    <font>
      <b/>
      <sz val="8"/>
      <name val="Times New Roman"/>
      <family val="1"/>
    </font>
    <font>
      <b/>
      <u val="single"/>
      <sz val="12"/>
      <name val="Times New Roman"/>
      <family val="1"/>
    </font>
    <font>
      <sz val="8"/>
      <name val="Arial"/>
      <family val="2"/>
    </font>
    <font>
      <b/>
      <sz val="11"/>
      <name val="Times New Roman"/>
      <family val="1"/>
    </font>
    <font>
      <sz val="9"/>
      <name val="Times New Roman"/>
      <family val="1"/>
    </font>
    <font>
      <b/>
      <sz val="10"/>
      <name val="Times New Roman"/>
      <family val="1"/>
    </font>
    <font>
      <sz val="10"/>
      <color indexed="10"/>
      <name val="Times New Roman"/>
      <family val="1"/>
    </font>
    <font>
      <sz val="8"/>
      <name val="Times New Roman"/>
      <family val="1"/>
    </font>
    <font>
      <sz val="10"/>
      <name val="Times New Roman"/>
      <family val="1"/>
    </font>
    <font>
      <b/>
      <sz val="9"/>
      <name val="Times New Roman"/>
      <family val="1"/>
    </font>
    <font>
      <sz val="10"/>
      <color indexed="12"/>
      <name val="Times New Roman"/>
      <family val="1"/>
    </font>
    <font>
      <b/>
      <sz val="10"/>
      <color indexed="10"/>
      <name val="Times New Roman"/>
      <family val="1"/>
    </font>
    <font>
      <b/>
      <u val="single"/>
      <sz val="10"/>
      <name val="Times New Roman"/>
      <family val="1"/>
    </font>
    <font>
      <b/>
      <sz val="8"/>
      <name val="Tahoma"/>
      <family val="2"/>
    </font>
    <font>
      <sz val="8"/>
      <name val="Tahoma"/>
      <family val="2"/>
    </font>
    <font>
      <b/>
      <sz val="8"/>
      <color indexed="10"/>
      <name val="Tahoma"/>
      <family val="2"/>
    </font>
    <font>
      <sz val="10"/>
      <color indexed="8"/>
      <name val="Times New Roman"/>
      <family val="1"/>
    </font>
    <font>
      <b/>
      <sz val="9"/>
      <color indexed="10"/>
      <name val="Times New Roman"/>
      <family val="1"/>
    </font>
    <font>
      <u val="single"/>
      <sz val="10"/>
      <color indexed="12"/>
      <name val="Arial"/>
      <family val="2"/>
    </font>
    <font>
      <u val="single"/>
      <sz val="10"/>
      <color indexed="36"/>
      <name val="Arial"/>
      <family val="2"/>
    </font>
    <font>
      <b/>
      <sz val="10"/>
      <color indexed="12"/>
      <name val="Times New Roman"/>
      <family val="1"/>
    </font>
    <font>
      <b/>
      <sz val="11"/>
      <color indexed="12"/>
      <name val="Times New Roman"/>
      <family val="1"/>
    </font>
    <font>
      <b/>
      <sz val="11"/>
      <color indexed="10"/>
      <name val="Times New Roman"/>
      <family val="1"/>
    </font>
    <font>
      <b/>
      <sz val="9"/>
      <color indexed="12"/>
      <name val="Times New Roman"/>
      <family val="1"/>
    </font>
    <font>
      <b/>
      <sz val="8"/>
      <color indexed="12"/>
      <name val="Tahoma"/>
      <family val="2"/>
    </font>
    <font>
      <sz val="8"/>
      <color indexed="8"/>
      <name val="Times New Roman"/>
      <family val="1"/>
    </font>
    <font>
      <b/>
      <u val="single"/>
      <sz val="11"/>
      <name val="Times New Roman"/>
      <family val="1"/>
    </font>
    <font>
      <b/>
      <u val="single"/>
      <sz val="12"/>
      <name val="Arial"/>
      <family val="2"/>
    </font>
    <font>
      <b/>
      <sz val="10"/>
      <color indexed="17"/>
      <name val="Times New Roman"/>
      <family val="1"/>
    </font>
    <font>
      <sz val="9"/>
      <name val="Arial"/>
      <family val="2"/>
    </font>
    <font>
      <b/>
      <u val="single"/>
      <sz val="9"/>
      <name val="Times New Roman"/>
      <family val="1"/>
    </font>
    <font>
      <b/>
      <sz val="9"/>
      <color indexed="17"/>
      <name val="Times New Roman"/>
      <family val="1"/>
    </font>
    <font>
      <u val="single"/>
      <sz val="9"/>
      <name val="Times New Roman"/>
      <family val="1"/>
    </font>
    <font>
      <b/>
      <sz val="14"/>
      <name val="Times New Roman"/>
      <family val="1"/>
    </font>
    <font>
      <sz val="10"/>
      <name val="Symbol"/>
      <family val="1"/>
    </font>
    <font>
      <sz val="10"/>
      <color indexed="17"/>
      <name val="Times New Roman"/>
      <family val="1"/>
    </font>
    <font>
      <b/>
      <sz val="10"/>
      <color indexed="16"/>
      <name val="Times New Roman"/>
      <family val="1"/>
    </font>
    <font>
      <sz val="10"/>
      <color indexed="16"/>
      <name val="Times New Roman"/>
      <family val="1"/>
    </font>
    <font>
      <u val="single"/>
      <sz val="8"/>
      <color indexed="12"/>
      <name val="Tahoma"/>
      <family val="2"/>
    </font>
    <font>
      <b/>
      <sz val="11"/>
      <name val="Arial"/>
      <family val="2"/>
    </font>
    <font>
      <b/>
      <sz val="9"/>
      <name val="Arial"/>
      <family val="2"/>
    </font>
    <font>
      <b/>
      <sz val="8"/>
      <color indexed="12"/>
      <name val="Times New Roman"/>
      <family val="1"/>
    </font>
    <font>
      <b/>
      <sz val="8"/>
      <color indexed="10"/>
      <name val="Times New Roman"/>
      <family val="1"/>
    </font>
    <font>
      <b/>
      <sz val="8"/>
      <color indexed="8"/>
      <name val="Times New Roman"/>
      <family val="1"/>
    </font>
    <font>
      <b/>
      <sz val="9"/>
      <color indexed="16"/>
      <name val="Times New Roman"/>
      <family val="1"/>
    </font>
    <font>
      <b/>
      <sz val="9"/>
      <color indexed="14"/>
      <name val="Times New Roman"/>
      <family val="1"/>
    </font>
    <font>
      <u val="single"/>
      <sz val="9"/>
      <color indexed="12"/>
      <name val="Times New Roman"/>
      <family val="1"/>
    </font>
    <font>
      <u val="single"/>
      <sz val="9"/>
      <color indexed="10"/>
      <name val="Times New Roman"/>
      <family val="1"/>
    </font>
    <font>
      <sz val="8"/>
      <color indexed="12"/>
      <name val="Times New Roman"/>
      <family val="1"/>
    </font>
    <font>
      <sz val="8"/>
      <color indexed="10"/>
      <name val="Times New Roman"/>
      <family val="1"/>
    </font>
    <font>
      <sz val="9"/>
      <color indexed="10"/>
      <name val="Times New Roman"/>
      <family val="1"/>
    </font>
    <font>
      <sz val="9"/>
      <color indexed="14"/>
      <name val="Times New Roman"/>
      <family val="1"/>
    </font>
    <font>
      <b/>
      <u val="single"/>
      <sz val="9"/>
      <color indexed="10"/>
      <name val="Times New Roman"/>
      <family val="1"/>
    </font>
    <font>
      <b/>
      <u val="single"/>
      <sz val="9"/>
      <color indexed="12"/>
      <name val="Times New Roman"/>
      <family val="1"/>
    </font>
    <font>
      <b/>
      <sz val="10"/>
      <name val="Tahoma"/>
      <family val="2"/>
    </font>
    <font>
      <b/>
      <sz val="12"/>
      <name val="Arial"/>
      <family val="2"/>
    </font>
    <font>
      <b/>
      <sz val="12"/>
      <color indexed="10"/>
      <name val="Arial"/>
      <family val="2"/>
    </font>
    <font>
      <b/>
      <u val="single"/>
      <sz val="12"/>
      <color indexed="10"/>
      <name val="Arial"/>
      <family val="2"/>
    </font>
    <font>
      <b/>
      <sz val="10"/>
      <color indexed="12"/>
      <name val="Arial"/>
      <family val="2"/>
    </font>
    <font>
      <b/>
      <u val="single"/>
      <sz val="10"/>
      <color indexed="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theme="1"/>
        <bgColor indexed="64"/>
      </patternFill>
    </fill>
    <fill>
      <patternFill patternType="solid">
        <fgColor indexed="45"/>
        <bgColor indexed="64"/>
      </patternFill>
    </fill>
    <fill>
      <patternFill patternType="solid">
        <fgColor indexed="22"/>
        <bgColor indexed="64"/>
      </patternFill>
    </fill>
    <fill>
      <patternFill patternType="solid">
        <fgColor indexed="1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medium"/>
      <top style="medium"/>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double"/>
    </border>
    <border>
      <left style="thin"/>
      <right style="medium"/>
      <top>
        <color indexed="63"/>
      </top>
      <bottom style="thin"/>
    </border>
    <border>
      <left style="medium"/>
      <right style="thin"/>
      <top style="medium"/>
      <bottom style="thin"/>
    </border>
    <border>
      <left>
        <color indexed="63"/>
      </left>
      <right>
        <color indexed="63"/>
      </right>
      <top>
        <color indexed="63"/>
      </top>
      <bottom style="medium"/>
    </border>
    <border>
      <left style="thin"/>
      <right style="thin"/>
      <top style="medium"/>
      <bottom style="thin"/>
    </border>
    <border>
      <left style="medium"/>
      <right>
        <color indexed="63"/>
      </right>
      <top style="medium"/>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thin"/>
      <bottom style="thin"/>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thin"/>
      <top>
        <color indexed="63"/>
      </top>
      <bottom style="thin"/>
    </border>
    <border>
      <left style="thin"/>
      <right>
        <color indexed="63"/>
      </right>
      <top style="thin"/>
      <bottom style="medium"/>
    </border>
    <border>
      <left style="medium"/>
      <right>
        <color indexed="63"/>
      </right>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medium"/>
      <top style="medium"/>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20"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19"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262">
    <xf numFmtId="0" fontId="0" fillId="0" borderId="0" xfId="0" applyAlignment="1">
      <alignment/>
    </xf>
    <xf numFmtId="0" fontId="1" fillId="33" borderId="10" xfId="0" applyFont="1" applyFill="1" applyBorder="1" applyAlignment="1" applyProtection="1">
      <alignment horizontal="center"/>
      <protection hidden="1"/>
    </xf>
    <xf numFmtId="0" fontId="1" fillId="34" borderId="10" xfId="0" applyFont="1" applyFill="1" applyBorder="1" applyAlignment="1" applyProtection="1">
      <alignment horizontal="center"/>
      <protection hidden="1"/>
    </xf>
    <xf numFmtId="0" fontId="5"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6" fillId="0" borderId="11" xfId="0" applyFont="1" applyFill="1" applyBorder="1" applyAlignment="1" applyProtection="1">
      <alignment horizontal="center"/>
      <protection hidden="1"/>
    </xf>
    <xf numFmtId="0" fontId="1" fillId="34" borderId="12" xfId="0" applyFont="1" applyFill="1" applyBorder="1" applyAlignment="1" applyProtection="1">
      <alignment/>
      <protection hidden="1"/>
    </xf>
    <xf numFmtId="0" fontId="6" fillId="0" borderId="0" xfId="0" applyFont="1" applyBorder="1" applyAlignment="1" applyProtection="1">
      <alignment horizontal="center" vertical="center" wrapText="1"/>
      <protection hidden="1"/>
    </xf>
    <xf numFmtId="49" fontId="6" fillId="0" borderId="13" xfId="0" applyNumberFormat="1" applyFont="1" applyBorder="1" applyAlignment="1" applyProtection="1">
      <alignment horizontal="center"/>
      <protection hidden="1"/>
    </xf>
    <xf numFmtId="49" fontId="6" fillId="0" borderId="14"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
      <protection hidden="1"/>
    </xf>
    <xf numFmtId="49" fontId="6" fillId="0" borderId="15" xfId="0" applyNumberFormat="1" applyFont="1" applyBorder="1" applyAlignment="1" applyProtection="1">
      <alignment horizontal="center"/>
      <protection hidden="1"/>
    </xf>
    <xf numFmtId="49" fontId="6" fillId="0" borderId="16" xfId="0" applyNumberFormat="1" applyFont="1" applyBorder="1" applyAlignment="1" applyProtection="1">
      <alignment horizontal="center"/>
      <protection hidden="1"/>
    </xf>
    <xf numFmtId="0" fontId="9" fillId="0" borderId="17" xfId="0" applyFont="1" applyBorder="1" applyAlignment="1" applyProtection="1">
      <alignment horizontal="center"/>
      <protection hidden="1"/>
    </xf>
    <xf numFmtId="0" fontId="9" fillId="0" borderId="0" xfId="0" applyFont="1" applyBorder="1" applyAlignment="1" applyProtection="1">
      <alignment/>
      <protection hidden="1"/>
    </xf>
    <xf numFmtId="0" fontId="9" fillId="0" borderId="10" xfId="0" applyFont="1" applyBorder="1" applyAlignment="1" applyProtection="1">
      <alignment horizontal="center"/>
      <protection hidden="1"/>
    </xf>
    <xf numFmtId="0" fontId="9" fillId="0" borderId="0" xfId="0" applyFont="1" applyBorder="1" applyAlignment="1" applyProtection="1">
      <alignment vertical="center"/>
      <protection hidden="1"/>
    </xf>
    <xf numFmtId="0" fontId="6" fillId="0" borderId="0" xfId="0" applyFont="1" applyBorder="1" applyAlignment="1" applyProtection="1">
      <alignment horizontal="center" vertical="center"/>
      <protection hidden="1"/>
    </xf>
    <xf numFmtId="0" fontId="9" fillId="0" borderId="18" xfId="0" applyFont="1" applyBorder="1" applyAlignment="1" applyProtection="1">
      <alignment horizontal="center"/>
      <protection hidden="1"/>
    </xf>
    <xf numFmtId="0" fontId="6" fillId="0" borderId="19" xfId="0" applyFont="1" applyFill="1" applyBorder="1" applyAlignment="1" applyProtection="1">
      <alignment horizontal="center" vertical="center"/>
      <protection hidden="1"/>
    </xf>
    <xf numFmtId="184" fontId="6" fillId="0" borderId="20" xfId="0" applyNumberFormat="1" applyFont="1" applyBorder="1" applyAlignment="1" applyProtection="1">
      <alignment horizontal="center" vertical="center" wrapText="1"/>
      <protection hidden="1"/>
    </xf>
    <xf numFmtId="184" fontId="10" fillId="0" borderId="20" xfId="0" applyNumberFormat="1" applyFont="1" applyFill="1" applyBorder="1" applyAlignment="1" applyProtection="1">
      <alignment vertical="center" wrapText="1"/>
      <protection hidden="1"/>
    </xf>
    <xf numFmtId="0" fontId="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84" fontId="9" fillId="0" borderId="21" xfId="0" applyNumberFormat="1" applyFont="1" applyBorder="1" applyAlignment="1" applyProtection="1">
      <alignment horizontal="right"/>
      <protection hidden="1"/>
    </xf>
    <xf numFmtId="0" fontId="9" fillId="0" borderId="0" xfId="0" applyFont="1" applyAlignment="1" applyProtection="1">
      <alignment/>
      <protection hidden="1"/>
    </xf>
    <xf numFmtId="0" fontId="9" fillId="0" borderId="0" xfId="0" applyFont="1" applyFill="1" applyBorder="1" applyAlignment="1" applyProtection="1">
      <alignment vertical="center"/>
      <protection hidden="1"/>
    </xf>
    <xf numFmtId="0" fontId="9" fillId="0" borderId="19" xfId="0" applyFont="1" applyFill="1" applyBorder="1" applyAlignment="1" applyProtection="1">
      <alignment vertical="center"/>
      <protection hidden="1"/>
    </xf>
    <xf numFmtId="49" fontId="6" fillId="0" borderId="18" xfId="0" applyNumberFormat="1" applyFont="1" applyBorder="1" applyAlignment="1" applyProtection="1">
      <alignment horizontal="center"/>
      <protection hidden="1"/>
    </xf>
    <xf numFmtId="49" fontId="6" fillId="0" borderId="22" xfId="0" applyNumberFormat="1" applyFont="1" applyBorder="1" applyAlignment="1" applyProtection="1">
      <alignment horizontal="center"/>
      <protection hidden="1"/>
    </xf>
    <xf numFmtId="0" fontId="1" fillId="34" borderId="23" xfId="0" applyFont="1" applyFill="1" applyBorder="1" applyAlignment="1" applyProtection="1">
      <alignment/>
      <protection hidden="1"/>
    </xf>
    <xf numFmtId="0" fontId="12" fillId="0" borderId="17" xfId="0" applyFont="1" applyBorder="1" applyAlignment="1" applyProtection="1">
      <alignment horizontal="center"/>
      <protection hidden="1"/>
    </xf>
    <xf numFmtId="0" fontId="9" fillId="35" borderId="10" xfId="0" applyFont="1" applyFill="1" applyBorder="1" applyAlignment="1" applyProtection="1">
      <alignment horizontal="center"/>
      <protection locked="0"/>
    </xf>
    <xf numFmtId="0" fontId="9" fillId="0" borderId="17" xfId="0" applyFont="1" applyFill="1" applyBorder="1" applyAlignment="1" applyProtection="1">
      <alignment horizontal="center"/>
      <protection hidden="1"/>
    </xf>
    <xf numFmtId="0" fontId="9" fillId="0" borderId="24" xfId="0" applyFont="1" applyBorder="1" applyAlignment="1" applyProtection="1">
      <alignment vertical="center"/>
      <protection hidden="1"/>
    </xf>
    <xf numFmtId="0" fontId="9" fillId="0" borderId="25" xfId="0" applyFont="1" applyBorder="1" applyAlignment="1" applyProtection="1">
      <alignment/>
      <protection hidden="1"/>
    </xf>
    <xf numFmtId="0" fontId="9" fillId="0" borderId="11" xfId="0" applyFont="1" applyBorder="1" applyAlignment="1" applyProtection="1">
      <alignment/>
      <protection hidden="1"/>
    </xf>
    <xf numFmtId="0" fontId="9"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9" fillId="0" borderId="0" xfId="0" applyFont="1" applyFill="1" applyAlignment="1" applyProtection="1">
      <alignment/>
      <protection hidden="1"/>
    </xf>
    <xf numFmtId="184" fontId="9" fillId="0" borderId="0" xfId="0" applyNumberFormat="1" applyFont="1" applyAlignment="1" applyProtection="1">
      <alignment/>
      <protection hidden="1"/>
    </xf>
    <xf numFmtId="0" fontId="9" fillId="0" borderId="20" xfId="0" applyFont="1" applyBorder="1" applyAlignment="1" applyProtection="1">
      <alignment/>
      <protection hidden="1"/>
    </xf>
    <xf numFmtId="184" fontId="9" fillId="0" borderId="2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9" fillId="0" borderId="19" xfId="0" applyFont="1" applyBorder="1" applyAlignment="1" applyProtection="1">
      <alignment/>
      <protection hidden="1"/>
    </xf>
    <xf numFmtId="0" fontId="8" fillId="0" borderId="26" xfId="0" applyFont="1" applyBorder="1" applyAlignment="1" applyProtection="1">
      <alignment vertical="center"/>
      <protection hidden="1"/>
    </xf>
    <xf numFmtId="0" fontId="21" fillId="0" borderId="17" xfId="0" applyFont="1" applyBorder="1" applyAlignment="1" applyProtection="1">
      <alignment horizontal="center"/>
      <protection hidden="1"/>
    </xf>
    <xf numFmtId="0" fontId="4" fillId="35" borderId="12" xfId="0" applyFont="1" applyFill="1" applyBorder="1" applyAlignment="1" applyProtection="1">
      <alignment horizontal="center" vertical="center"/>
      <protection locked="0"/>
    </xf>
    <xf numFmtId="0" fontId="6" fillId="0" borderId="23" xfId="0" applyFont="1" applyBorder="1" applyAlignment="1" applyProtection="1">
      <alignment horizontal="center"/>
      <protection hidden="1"/>
    </xf>
    <xf numFmtId="0" fontId="6" fillId="0" borderId="23" xfId="0" applyFont="1" applyFill="1" applyBorder="1" applyAlignment="1" applyProtection="1">
      <alignment horizontal="center"/>
      <protection hidden="1"/>
    </xf>
    <xf numFmtId="185" fontId="1" fillId="0" borderId="25" xfId="0" applyNumberFormat="1" applyFont="1" applyFill="1" applyBorder="1" applyAlignment="1" applyProtection="1">
      <alignment/>
      <protection hidden="1"/>
    </xf>
    <xf numFmtId="185" fontId="1" fillId="0" borderId="25" xfId="0" applyNumberFormat="1" applyFont="1" applyFill="1" applyBorder="1" applyAlignment="1" applyProtection="1">
      <alignment horizontal="center"/>
      <protection hidden="1"/>
    </xf>
    <xf numFmtId="0" fontId="9" fillId="0" borderId="25" xfId="0" applyFont="1" applyBorder="1" applyAlignment="1" applyProtection="1">
      <alignment horizontal="right"/>
      <protection hidden="1"/>
    </xf>
    <xf numFmtId="0" fontId="9" fillId="0" borderId="27" xfId="0" applyFont="1" applyBorder="1" applyAlignment="1" applyProtection="1">
      <alignment/>
      <protection hidden="1"/>
    </xf>
    <xf numFmtId="0" fontId="6" fillId="0" borderId="11" xfId="0" applyFont="1" applyBorder="1" applyAlignment="1" applyProtection="1">
      <alignment horizontal="center" vertical="center"/>
      <protection hidden="1"/>
    </xf>
    <xf numFmtId="184" fontId="9" fillId="0" borderId="28" xfId="0" applyNumberFormat="1" applyFont="1" applyFill="1" applyBorder="1" applyAlignment="1" applyProtection="1">
      <alignment horizontal="center"/>
      <protection hidden="1"/>
    </xf>
    <xf numFmtId="0" fontId="9" fillId="0" borderId="29" xfId="0" applyFont="1" applyBorder="1" applyAlignment="1" applyProtection="1">
      <alignment horizontal="center"/>
      <protection hidden="1"/>
    </xf>
    <xf numFmtId="0" fontId="9" fillId="0" borderId="30" xfId="0" applyFont="1" applyFill="1" applyBorder="1" applyAlignment="1" applyProtection="1">
      <alignment horizontal="center"/>
      <protection hidden="1"/>
    </xf>
    <xf numFmtId="0" fontId="9" fillId="0" borderId="30" xfId="0" applyFont="1" applyBorder="1" applyAlignment="1" applyProtection="1">
      <alignment horizontal="center"/>
      <protection hidden="1"/>
    </xf>
    <xf numFmtId="0" fontId="17" fillId="0" borderId="30" xfId="0" applyFont="1" applyFill="1" applyBorder="1" applyAlignment="1" applyProtection="1">
      <alignment horizontal="center"/>
      <protection hidden="1"/>
    </xf>
    <xf numFmtId="0" fontId="11" fillId="0" borderId="30" xfId="0" applyFont="1" applyBorder="1" applyAlignment="1" applyProtection="1">
      <alignment horizontal="center"/>
      <protection hidden="1"/>
    </xf>
    <xf numFmtId="0" fontId="9" fillId="0" borderId="29" xfId="0" applyFont="1" applyFill="1" applyBorder="1" applyAlignment="1" applyProtection="1">
      <alignment horizontal="center"/>
      <protection hidden="1"/>
    </xf>
    <xf numFmtId="184" fontId="9" fillId="0" borderId="18" xfId="0" applyNumberFormat="1" applyFont="1" applyBorder="1" applyAlignment="1" applyProtection="1">
      <alignment/>
      <protection hidden="1"/>
    </xf>
    <xf numFmtId="0" fontId="1" fillId="33" borderId="29" xfId="0" applyFont="1" applyFill="1" applyBorder="1" applyAlignment="1" applyProtection="1">
      <alignment horizontal="center"/>
      <protection hidden="1"/>
    </xf>
    <xf numFmtId="0" fontId="1" fillId="34" borderId="29" xfId="0" applyFont="1" applyFill="1" applyBorder="1" applyAlignment="1" applyProtection="1">
      <alignment horizontal="center"/>
      <protection hidden="1"/>
    </xf>
    <xf numFmtId="0" fontId="9" fillId="0" borderId="0" xfId="0" applyFont="1" applyAlignment="1">
      <alignment/>
    </xf>
    <xf numFmtId="0" fontId="0" fillId="0" borderId="0" xfId="0" applyAlignment="1">
      <alignment horizontal="center" vertical="center"/>
    </xf>
    <xf numFmtId="0" fontId="9" fillId="0" borderId="0" xfId="0" applyFont="1" applyAlignment="1">
      <alignment vertical="center"/>
    </xf>
    <xf numFmtId="0" fontId="27" fillId="36" borderId="31" xfId="0" applyFont="1" applyFill="1" applyBorder="1" applyAlignment="1">
      <alignment horizontal="center" vertical="center"/>
    </xf>
    <xf numFmtId="0" fontId="30"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Alignment="1">
      <alignment/>
    </xf>
    <xf numFmtId="0" fontId="13" fillId="0" borderId="32" xfId="0" applyFont="1" applyBorder="1" applyAlignment="1">
      <alignment horizontal="center"/>
    </xf>
    <xf numFmtId="0" fontId="34" fillId="0" borderId="33" xfId="0" applyFont="1" applyBorder="1" applyAlignment="1">
      <alignment horizontal="justify"/>
    </xf>
    <xf numFmtId="0" fontId="9" fillId="0" borderId="33" xfId="0" applyFont="1" applyBorder="1" applyAlignment="1">
      <alignment horizontal="justify"/>
    </xf>
    <xf numFmtId="0" fontId="35" fillId="0" borderId="33" xfId="0" applyFont="1" applyBorder="1" applyAlignment="1">
      <alignment horizontal="justify"/>
    </xf>
    <xf numFmtId="0" fontId="9" fillId="0" borderId="34" xfId="0" applyFont="1" applyBorder="1" applyAlignment="1">
      <alignment horizontal="justify"/>
    </xf>
    <xf numFmtId="0" fontId="9" fillId="0" borderId="0" xfId="0" applyFont="1" applyFill="1" applyAlignment="1" applyProtection="1">
      <alignment horizontal="center"/>
      <protection hidden="1"/>
    </xf>
    <xf numFmtId="0" fontId="21" fillId="0" borderId="0" xfId="0" applyFont="1" applyFill="1" applyAlignment="1" applyProtection="1">
      <alignment/>
      <protection hidden="1"/>
    </xf>
    <xf numFmtId="0" fontId="11" fillId="0" borderId="0" xfId="0" applyFont="1" applyFill="1" applyAlignment="1" applyProtection="1">
      <alignment/>
      <protection hidden="1"/>
    </xf>
    <xf numFmtId="0" fontId="11" fillId="0" borderId="0" xfId="0" applyFont="1" applyFill="1" applyBorder="1" applyAlignment="1" applyProtection="1">
      <alignment/>
      <protection hidden="1"/>
    </xf>
    <xf numFmtId="0" fontId="8" fillId="0" borderId="35" xfId="0" applyFont="1" applyBorder="1" applyAlignment="1" applyProtection="1">
      <alignment vertical="center" wrapText="1"/>
      <protection hidden="1"/>
    </xf>
    <xf numFmtId="0" fontId="1" fillId="0" borderId="36" xfId="0" applyFont="1" applyBorder="1" applyAlignment="1" applyProtection="1">
      <alignment horizontal="center" vertical="center" textRotation="90" wrapText="1"/>
      <protection hidden="1"/>
    </xf>
    <xf numFmtId="0" fontId="10" fillId="0" borderId="36" xfId="0" applyFont="1" applyBorder="1" applyAlignment="1" applyProtection="1">
      <alignment horizontal="center" vertical="center" textRotation="90" wrapText="1"/>
      <protection hidden="1"/>
    </xf>
    <xf numFmtId="0" fontId="10" fillId="0" borderId="37" xfId="0" applyFont="1" applyFill="1" applyBorder="1" applyAlignment="1" applyProtection="1">
      <alignment horizontal="center" vertical="center" textRotation="90" wrapText="1"/>
      <protection hidden="1"/>
    </xf>
    <xf numFmtId="0" fontId="0" fillId="0" borderId="0" xfId="0" applyFill="1" applyAlignment="1">
      <alignment/>
    </xf>
    <xf numFmtId="0" fontId="6" fillId="35" borderId="0" xfId="0" applyFont="1" applyFill="1" applyAlignment="1" applyProtection="1">
      <alignment vertical="center"/>
      <protection locked="0"/>
    </xf>
    <xf numFmtId="0" fontId="40" fillId="35" borderId="38" xfId="0" applyFont="1" applyFill="1" applyBorder="1" applyAlignment="1" applyProtection="1">
      <alignment horizontal="center" vertical="center"/>
      <protection locked="0"/>
    </xf>
    <xf numFmtId="0" fontId="41" fillId="0" borderId="39" xfId="0" applyFont="1" applyBorder="1" applyAlignment="1">
      <alignment horizontal="center" vertical="center"/>
    </xf>
    <xf numFmtId="0" fontId="5" fillId="0" borderId="40" xfId="0" applyFont="1" applyBorder="1" applyAlignment="1">
      <alignment vertical="center" wrapText="1"/>
    </xf>
    <xf numFmtId="0" fontId="5" fillId="0" borderId="40" xfId="0" applyFont="1" applyBorder="1" applyAlignment="1">
      <alignment vertical="center"/>
    </xf>
    <xf numFmtId="0" fontId="41" fillId="37" borderId="41" xfId="0" applyFont="1" applyFill="1" applyBorder="1" applyAlignment="1">
      <alignment horizontal="center" vertical="center"/>
    </xf>
    <xf numFmtId="0" fontId="31" fillId="37" borderId="42" xfId="0" applyFont="1" applyFill="1" applyBorder="1" applyAlignment="1">
      <alignment vertical="center" wrapText="1"/>
    </xf>
    <xf numFmtId="0" fontId="21" fillId="0" borderId="17" xfId="0" applyFont="1" applyFill="1" applyBorder="1" applyAlignment="1" applyProtection="1">
      <alignment horizontal="center"/>
      <protection hidden="1"/>
    </xf>
    <xf numFmtId="0" fontId="9" fillId="0" borderId="10" xfId="0" applyNumberFormat="1" applyFont="1" applyFill="1" applyBorder="1" applyAlignment="1" applyProtection="1">
      <alignment horizontal="center"/>
      <protection hidden="1"/>
    </xf>
    <xf numFmtId="0" fontId="9" fillId="0" borderId="43" xfId="0" applyFont="1" applyBorder="1" applyAlignment="1" applyProtection="1">
      <alignment horizontal="center"/>
      <protection hidden="1"/>
    </xf>
    <xf numFmtId="0" fontId="6" fillId="35" borderId="10" xfId="0" applyFont="1" applyFill="1" applyBorder="1" applyAlignment="1" applyProtection="1">
      <alignment horizontal="center"/>
      <protection locked="0"/>
    </xf>
    <xf numFmtId="184" fontId="13" fillId="36" borderId="44" xfId="0" applyNumberFormat="1" applyFont="1" applyFill="1" applyBorder="1" applyAlignment="1" applyProtection="1">
      <alignment/>
      <protection hidden="1"/>
    </xf>
    <xf numFmtId="184" fontId="6" fillId="0" borderId="0" xfId="0" applyNumberFormat="1" applyFont="1" applyFill="1" applyBorder="1" applyAlignment="1" applyProtection="1">
      <alignment horizontal="center" vertical="center" wrapText="1"/>
      <protection hidden="1"/>
    </xf>
    <xf numFmtId="0" fontId="9" fillId="35" borderId="10" xfId="0" applyNumberFormat="1" applyFont="1" applyFill="1" applyBorder="1" applyAlignment="1" applyProtection="1">
      <alignment horizontal="center"/>
      <protection locked="0"/>
    </xf>
    <xf numFmtId="0" fontId="6" fillId="0" borderId="45" xfId="0" applyFont="1" applyFill="1" applyBorder="1" applyAlignment="1" applyProtection="1">
      <alignment vertical="center"/>
      <protection hidden="1"/>
    </xf>
    <xf numFmtId="0" fontId="9" fillId="35" borderId="46" xfId="0" applyFont="1" applyFill="1" applyBorder="1" applyAlignment="1" applyProtection="1">
      <alignment horizontal="center"/>
      <protection locked="0"/>
    </xf>
    <xf numFmtId="184" fontId="12" fillId="0" borderId="0" xfId="0" applyNumberFormat="1" applyFont="1" applyBorder="1" applyAlignment="1" applyProtection="1">
      <alignment/>
      <protection hidden="1"/>
    </xf>
    <xf numFmtId="184" fontId="9" fillId="35" borderId="44" xfId="0" applyNumberFormat="1" applyFont="1" applyFill="1" applyBorder="1" applyAlignment="1" applyProtection="1">
      <alignment horizontal="center"/>
      <protection locked="0"/>
    </xf>
    <xf numFmtId="0" fontId="12" fillId="0" borderId="0" xfId="0" applyFont="1" applyBorder="1" applyAlignment="1" applyProtection="1">
      <alignment/>
      <protection hidden="1"/>
    </xf>
    <xf numFmtId="0" fontId="12" fillId="0" borderId="25" xfId="0" applyFont="1" applyBorder="1" applyAlignment="1" applyProtection="1">
      <alignment/>
      <protection hidden="1"/>
    </xf>
    <xf numFmtId="0" fontId="10" fillId="35" borderId="47" xfId="0" applyFont="1" applyFill="1" applyBorder="1" applyAlignment="1" applyProtection="1">
      <alignment horizontal="center" vertical="center"/>
      <protection locked="0"/>
    </xf>
    <xf numFmtId="0" fontId="9" fillId="35" borderId="46" xfId="0" applyNumberFormat="1" applyFont="1" applyFill="1" applyBorder="1" applyAlignment="1" applyProtection="1">
      <alignment horizontal="center"/>
      <protection locked="0"/>
    </xf>
    <xf numFmtId="184" fontId="9" fillId="35" borderId="10" xfId="0" applyNumberFormat="1" applyFont="1" applyFill="1" applyBorder="1" applyAlignment="1" applyProtection="1">
      <alignment horizontal="center"/>
      <protection locked="0"/>
    </xf>
    <xf numFmtId="0" fontId="21" fillId="0" borderId="0" xfId="0" applyFont="1" applyBorder="1" applyAlignment="1" applyProtection="1">
      <alignment horizontal="center"/>
      <protection hidden="1"/>
    </xf>
    <xf numFmtId="0" fontId="56" fillId="0" borderId="0" xfId="0" applyFont="1" applyFill="1" applyBorder="1" applyAlignment="1">
      <alignment vertical="center" wrapText="1"/>
    </xf>
    <xf numFmtId="0" fontId="59" fillId="0" borderId="0" xfId="0" applyFont="1" applyFill="1" applyBorder="1" applyAlignment="1">
      <alignment vertical="center"/>
    </xf>
    <xf numFmtId="14" fontId="8" fillId="0" borderId="10" xfId="0" applyNumberFormat="1" applyFont="1" applyBorder="1" applyAlignment="1" applyProtection="1">
      <alignment vertical="center"/>
      <protection hidden="1"/>
    </xf>
    <xf numFmtId="0" fontId="9" fillId="38" borderId="0" xfId="0" applyFont="1" applyFill="1" applyAlignment="1" applyProtection="1">
      <alignment/>
      <protection hidden="1"/>
    </xf>
    <xf numFmtId="0" fontId="8" fillId="38" borderId="0" xfId="0" applyFont="1" applyFill="1" applyBorder="1" applyAlignment="1" applyProtection="1">
      <alignment horizontal="center"/>
      <protection hidden="1"/>
    </xf>
    <xf numFmtId="0" fontId="9" fillId="38" borderId="0" xfId="0" applyFont="1" applyFill="1" applyAlignment="1" applyProtection="1">
      <alignment horizontal="center"/>
      <protection hidden="1"/>
    </xf>
    <xf numFmtId="0" fontId="8" fillId="38" borderId="10" xfId="0" applyFont="1" applyFill="1" applyBorder="1" applyAlignment="1" applyProtection="1">
      <alignment textRotation="90"/>
      <protection hidden="1"/>
    </xf>
    <xf numFmtId="0" fontId="42" fillId="38" borderId="10" xfId="0" applyFont="1" applyFill="1" applyBorder="1" applyAlignment="1" applyProtection="1">
      <alignment horizontal="center" textRotation="90"/>
      <protection hidden="1"/>
    </xf>
    <xf numFmtId="0" fontId="42" fillId="38" borderId="10" xfId="0" applyFont="1" applyFill="1" applyBorder="1" applyAlignment="1" applyProtection="1">
      <alignment horizontal="center" textRotation="90" wrapText="1"/>
      <protection hidden="1"/>
    </xf>
    <xf numFmtId="0" fontId="43" fillId="38" borderId="10" xfId="0" applyFont="1" applyFill="1" applyBorder="1" applyAlignment="1" applyProtection="1">
      <alignment horizontal="center" textRotation="90"/>
      <protection hidden="1"/>
    </xf>
    <xf numFmtId="0" fontId="43" fillId="38" borderId="10" xfId="0" applyFont="1" applyFill="1" applyBorder="1" applyAlignment="1" applyProtection="1">
      <alignment horizontal="center" textRotation="90" wrapText="1"/>
      <protection hidden="1"/>
    </xf>
    <xf numFmtId="0" fontId="21" fillId="38" borderId="0" xfId="0" applyFont="1" applyFill="1" applyAlignment="1" applyProtection="1">
      <alignment horizontal="center" textRotation="90" wrapText="1"/>
      <protection hidden="1"/>
    </xf>
    <xf numFmtId="1" fontId="9" fillId="38" borderId="0" xfId="0" applyNumberFormat="1" applyFont="1" applyFill="1" applyAlignment="1" applyProtection="1">
      <alignment horizontal="center"/>
      <protection hidden="1"/>
    </xf>
    <xf numFmtId="1" fontId="8" fillId="38" borderId="0" xfId="0" applyNumberFormat="1" applyFont="1" applyFill="1" applyAlignment="1" applyProtection="1">
      <alignment horizontal="center"/>
      <protection hidden="1"/>
    </xf>
    <xf numFmtId="0" fontId="9" fillId="38" borderId="18" xfId="0" applyFont="1" applyFill="1" applyBorder="1" applyAlignment="1" applyProtection="1">
      <alignment/>
      <protection hidden="1"/>
    </xf>
    <xf numFmtId="0" fontId="21" fillId="38" borderId="0" xfId="0" applyFont="1" applyFill="1" applyAlignment="1" applyProtection="1">
      <alignment/>
      <protection hidden="1"/>
    </xf>
    <xf numFmtId="184" fontId="9" fillId="38" borderId="0" xfId="0" applyNumberFormat="1" applyFont="1" applyFill="1" applyAlignment="1" applyProtection="1">
      <alignment/>
      <protection hidden="1"/>
    </xf>
    <xf numFmtId="1" fontId="9" fillId="38" borderId="10" xfId="0" applyNumberFormat="1" applyFont="1" applyFill="1" applyBorder="1" applyAlignment="1" applyProtection="1">
      <alignment/>
      <protection hidden="1"/>
    </xf>
    <xf numFmtId="0" fontId="9" fillId="38" borderId="10" xfId="0" applyFont="1" applyFill="1" applyBorder="1" applyAlignment="1" applyProtection="1">
      <alignment/>
      <protection hidden="1"/>
    </xf>
    <xf numFmtId="0" fontId="17" fillId="38" borderId="10" xfId="0" applyFont="1" applyFill="1" applyBorder="1" applyAlignment="1" applyProtection="1">
      <alignment horizontal="center"/>
      <protection hidden="1"/>
    </xf>
    <xf numFmtId="0" fontId="11" fillId="38" borderId="10" xfId="0" applyFont="1" applyFill="1" applyBorder="1" applyAlignment="1" applyProtection="1">
      <alignment horizontal="center"/>
      <protection hidden="1"/>
    </xf>
    <xf numFmtId="0" fontId="49" fillId="38" borderId="10" xfId="0" applyFont="1" applyFill="1" applyBorder="1" applyAlignment="1" applyProtection="1">
      <alignment horizontal="center"/>
      <protection hidden="1"/>
    </xf>
    <xf numFmtId="0" fontId="38" fillId="38" borderId="10" xfId="0" applyFont="1" applyFill="1" applyBorder="1" applyAlignment="1" applyProtection="1">
      <alignment horizontal="center"/>
      <protection hidden="1"/>
    </xf>
    <xf numFmtId="0" fontId="7" fillId="38" borderId="10" xfId="0" applyFont="1" applyFill="1" applyBorder="1" applyAlignment="1" applyProtection="1">
      <alignment horizontal="center"/>
      <protection hidden="1"/>
    </xf>
    <xf numFmtId="0" fontId="50" fillId="38" borderId="10" xfId="0" applyFont="1" applyFill="1" applyBorder="1" applyAlignment="1" applyProtection="1">
      <alignment horizontal="center"/>
      <protection hidden="1"/>
    </xf>
    <xf numFmtId="0" fontId="7" fillId="38" borderId="17" xfId="0" applyFont="1" applyFill="1" applyBorder="1" applyAlignment="1" applyProtection="1">
      <alignment horizontal="center"/>
      <protection hidden="1"/>
    </xf>
    <xf numFmtId="0" fontId="49" fillId="38" borderId="17" xfId="0" applyFont="1" applyFill="1" applyBorder="1" applyAlignment="1" applyProtection="1">
      <alignment horizontal="center"/>
      <protection hidden="1"/>
    </xf>
    <xf numFmtId="0" fontId="50" fillId="38" borderId="17" xfId="0" applyFont="1" applyFill="1" applyBorder="1" applyAlignment="1" applyProtection="1">
      <alignment horizontal="center"/>
      <protection hidden="1"/>
    </xf>
    <xf numFmtId="0" fontId="8" fillId="38" borderId="10" xfId="0" applyFont="1" applyFill="1" applyBorder="1" applyAlignment="1" applyProtection="1">
      <alignment horizontal="center"/>
      <protection hidden="1"/>
    </xf>
    <xf numFmtId="0" fontId="9" fillId="38" borderId="0" xfId="0" applyFont="1" applyFill="1" applyAlignment="1">
      <alignment horizontal="center"/>
    </xf>
    <xf numFmtId="0" fontId="11" fillId="38" borderId="0" xfId="0" applyFont="1" applyFill="1" applyBorder="1" applyAlignment="1" applyProtection="1">
      <alignment/>
      <protection hidden="1"/>
    </xf>
    <xf numFmtId="0" fontId="7" fillId="38" borderId="0" xfId="0" applyFont="1" applyFill="1" applyBorder="1" applyAlignment="1" applyProtection="1">
      <alignment/>
      <protection hidden="1"/>
    </xf>
    <xf numFmtId="0" fontId="12" fillId="38" borderId="0" xfId="0" applyFont="1" applyFill="1" applyAlignment="1" applyProtection="1">
      <alignment/>
      <protection hidden="1"/>
    </xf>
    <xf numFmtId="0" fontId="8" fillId="38" borderId="17" xfId="0" applyFont="1" applyFill="1" applyBorder="1" applyAlignment="1" applyProtection="1">
      <alignment horizontal="center"/>
      <protection hidden="1"/>
    </xf>
    <xf numFmtId="0" fontId="21" fillId="38" borderId="0" xfId="0" applyFont="1" applyFill="1" applyBorder="1" applyAlignment="1" applyProtection="1">
      <alignment/>
      <protection hidden="1"/>
    </xf>
    <xf numFmtId="0" fontId="11" fillId="38" borderId="0" xfId="0" applyFont="1" applyFill="1" applyAlignment="1" applyProtection="1">
      <alignment/>
      <protection hidden="1"/>
    </xf>
    <xf numFmtId="0" fontId="9" fillId="38" borderId="0" xfId="0" applyFont="1" applyFill="1" applyBorder="1" applyAlignment="1" applyProtection="1">
      <alignment/>
      <protection hidden="1"/>
    </xf>
    <xf numFmtId="0" fontId="4" fillId="38" borderId="0" xfId="0" applyFont="1" applyFill="1" applyBorder="1" applyAlignment="1" applyProtection="1">
      <alignment horizontal="left" vertical="center"/>
      <protection hidden="1"/>
    </xf>
    <xf numFmtId="0" fontId="4" fillId="38" borderId="0" xfId="0" applyFont="1" applyFill="1" applyBorder="1" applyAlignment="1" applyProtection="1">
      <alignment horizontal="center" vertical="center"/>
      <protection hidden="1"/>
    </xf>
    <xf numFmtId="17" fontId="9" fillId="38" borderId="0" xfId="0" applyNumberFormat="1" applyFont="1" applyFill="1" applyAlignment="1" applyProtection="1">
      <alignment/>
      <protection hidden="1"/>
    </xf>
    <xf numFmtId="0" fontId="21" fillId="38" borderId="0" xfId="0" applyFont="1" applyFill="1" applyAlignment="1" applyProtection="1">
      <alignment horizontal="center" textRotation="90"/>
      <protection hidden="1"/>
    </xf>
    <xf numFmtId="0" fontId="9" fillId="0" borderId="0" xfId="0" applyFont="1" applyBorder="1" applyAlignment="1" applyProtection="1">
      <alignment/>
      <protection hidden="1"/>
    </xf>
    <xf numFmtId="0" fontId="6" fillId="0" borderId="0" xfId="0" applyFont="1" applyFill="1" applyBorder="1" applyAlignment="1" applyProtection="1">
      <alignment horizontal="center"/>
      <protection locked="0"/>
    </xf>
    <xf numFmtId="0" fontId="8" fillId="0" borderId="48" xfId="0" applyFont="1" applyFill="1" applyBorder="1" applyAlignment="1" applyProtection="1">
      <alignment vertical="center" wrapText="1"/>
      <protection hidden="1"/>
    </xf>
    <xf numFmtId="0" fontId="10" fillId="35" borderId="49"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protection hidden="1"/>
    </xf>
    <xf numFmtId="191" fontId="0" fillId="38" borderId="0" xfId="0" applyNumberFormat="1" applyFill="1" applyAlignment="1">
      <alignment/>
    </xf>
    <xf numFmtId="1" fontId="0" fillId="38" borderId="0" xfId="0" applyNumberFormat="1" applyFill="1" applyAlignment="1">
      <alignment/>
    </xf>
    <xf numFmtId="0" fontId="0" fillId="38" borderId="0" xfId="0" applyFill="1" applyAlignment="1">
      <alignment/>
    </xf>
    <xf numFmtId="0" fontId="96" fillId="38" borderId="17" xfId="0" applyFont="1" applyFill="1" applyBorder="1" applyAlignment="1" applyProtection="1">
      <alignment horizontal="center"/>
      <protection hidden="1"/>
    </xf>
    <xf numFmtId="184" fontId="9" fillId="0" borderId="44" xfId="0" applyNumberFormat="1" applyFont="1" applyFill="1" applyBorder="1" applyAlignment="1" applyProtection="1">
      <alignment horizontal="center"/>
      <protection hidden="1"/>
    </xf>
    <xf numFmtId="0" fontId="9" fillId="0" borderId="10" xfId="0" applyFont="1" applyFill="1" applyBorder="1" applyAlignment="1" applyProtection="1">
      <alignment horizontal="center"/>
      <protection hidden="1"/>
    </xf>
    <xf numFmtId="0" fontId="9" fillId="38" borderId="0" xfId="0" applyNumberFormat="1" applyFont="1" applyFill="1" applyAlignment="1" applyProtection="1">
      <alignment/>
      <protection hidden="1"/>
    </xf>
    <xf numFmtId="0" fontId="28" fillId="39" borderId="32" xfId="0" applyFont="1" applyFill="1" applyBorder="1" applyAlignment="1">
      <alignment horizontal="center" vertical="center"/>
    </xf>
    <xf numFmtId="0" fontId="28" fillId="39" borderId="34" xfId="0" applyFont="1" applyFill="1" applyBorder="1" applyAlignment="1">
      <alignment horizontal="center" vertical="center"/>
    </xf>
    <xf numFmtId="0" fontId="56" fillId="40" borderId="50" xfId="0" applyFont="1" applyFill="1" applyBorder="1" applyAlignment="1">
      <alignment horizontal="center" vertical="center" wrapText="1"/>
    </xf>
    <xf numFmtId="0" fontId="56" fillId="40" borderId="51" xfId="0" applyFont="1" applyFill="1" applyBorder="1" applyAlignment="1">
      <alignment horizontal="center" vertical="center" wrapText="1"/>
    </xf>
    <xf numFmtId="0" fontId="56" fillId="40" borderId="52" xfId="0" applyFont="1" applyFill="1" applyBorder="1" applyAlignment="1">
      <alignment horizontal="center" vertical="center" wrapText="1"/>
    </xf>
    <xf numFmtId="0" fontId="59" fillId="40" borderId="29" xfId="0" applyFont="1" applyFill="1" applyBorder="1" applyAlignment="1">
      <alignment horizontal="center" vertical="center"/>
    </xf>
    <xf numFmtId="0" fontId="59" fillId="40" borderId="30" xfId="0" applyFont="1" applyFill="1" applyBorder="1" applyAlignment="1">
      <alignment horizontal="center" vertical="center"/>
    </xf>
    <xf numFmtId="0" fontId="59" fillId="40" borderId="53" xfId="0" applyFont="1" applyFill="1" applyBorder="1" applyAlignment="1">
      <alignment horizontal="center" vertical="center"/>
    </xf>
    <xf numFmtId="185" fontId="1" fillId="35" borderId="25" xfId="0" applyNumberFormat="1" applyFont="1" applyFill="1" applyBorder="1" applyAlignment="1" applyProtection="1">
      <alignment horizontal="left"/>
      <protection locked="0"/>
    </xf>
    <xf numFmtId="0" fontId="9" fillId="0" borderId="25" xfId="0" applyFont="1" applyBorder="1" applyAlignment="1" applyProtection="1">
      <alignment horizontal="right"/>
      <protection hidden="1"/>
    </xf>
    <xf numFmtId="0" fontId="6" fillId="0" borderId="25" xfId="0" applyFont="1" applyBorder="1" applyAlignment="1" applyProtection="1">
      <alignment horizontal="left"/>
      <protection hidden="1"/>
    </xf>
    <xf numFmtId="0" fontId="0" fillId="0" borderId="25" xfId="0" applyBorder="1" applyAlignment="1">
      <alignment/>
    </xf>
    <xf numFmtId="0" fontId="0" fillId="0" borderId="38" xfId="0" applyBorder="1" applyAlignment="1">
      <alignment/>
    </xf>
    <xf numFmtId="184" fontId="6" fillId="36" borderId="27" xfId="0" applyNumberFormat="1" applyFont="1" applyFill="1" applyBorder="1" applyAlignment="1" applyProtection="1">
      <alignment horizontal="center" vertical="center" wrapText="1"/>
      <protection hidden="1"/>
    </xf>
    <xf numFmtId="184" fontId="6" fillId="36" borderId="11" xfId="0" applyNumberFormat="1" applyFont="1" applyFill="1" applyBorder="1" applyAlignment="1" applyProtection="1">
      <alignment horizontal="center" vertical="center" wrapText="1"/>
      <protection hidden="1"/>
    </xf>
    <xf numFmtId="184" fontId="6" fillId="36" borderId="54" xfId="0" applyNumberFormat="1" applyFont="1" applyFill="1" applyBorder="1" applyAlignment="1" applyProtection="1">
      <alignment horizontal="center" vertical="center" wrapText="1"/>
      <protection hidden="1"/>
    </xf>
    <xf numFmtId="184" fontId="6" fillId="36" borderId="21" xfId="0" applyNumberFormat="1" applyFont="1" applyFill="1" applyBorder="1" applyAlignment="1" applyProtection="1">
      <alignment horizontal="center" vertical="center" wrapText="1"/>
      <protection hidden="1"/>
    </xf>
    <xf numFmtId="184" fontId="6" fillId="36" borderId="25" xfId="0" applyNumberFormat="1" applyFont="1" applyFill="1" applyBorder="1" applyAlignment="1" applyProtection="1">
      <alignment horizontal="center" vertical="center" wrapText="1"/>
      <protection hidden="1"/>
    </xf>
    <xf numFmtId="184" fontId="6" fillId="36" borderId="38" xfId="0" applyNumberFormat="1"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9" fillId="0" borderId="19" xfId="0" applyFont="1" applyBorder="1" applyAlignment="1" applyProtection="1">
      <alignment horizontal="center"/>
      <protection hidden="1"/>
    </xf>
    <xf numFmtId="0" fontId="6" fillId="34" borderId="23" xfId="0" applyFont="1" applyFill="1" applyBorder="1" applyAlignment="1" applyProtection="1">
      <alignment horizontal="center" vertical="center"/>
      <protection hidden="1"/>
    </xf>
    <xf numFmtId="0" fontId="6" fillId="34" borderId="55" xfId="0" applyFont="1" applyFill="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49" xfId="0" applyFont="1" applyBorder="1" applyAlignment="1" applyProtection="1">
      <alignment horizontal="center" vertical="center"/>
      <protection hidden="1"/>
    </xf>
    <xf numFmtId="0" fontId="9" fillId="0" borderId="56"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2" fillId="36" borderId="0" xfId="0" applyFont="1" applyFill="1" applyAlignment="1" applyProtection="1">
      <alignment horizontal="center" vertical="center" wrapText="1"/>
      <protection hidden="1"/>
    </xf>
    <xf numFmtId="0" fontId="4" fillId="36" borderId="58" xfId="0" applyFont="1" applyFill="1" applyBorder="1" applyAlignment="1" applyProtection="1">
      <alignment horizontal="center" vertical="center" wrapText="1"/>
      <protection hidden="1"/>
    </xf>
    <xf numFmtId="0" fontId="4" fillId="36" borderId="54" xfId="0" applyFont="1" applyFill="1" applyBorder="1" applyAlignment="1" applyProtection="1">
      <alignment horizontal="center" vertical="center" wrapText="1"/>
      <protection hidden="1"/>
    </xf>
    <xf numFmtId="0" fontId="4" fillId="36" borderId="59" xfId="0" applyFont="1" applyFill="1" applyBorder="1" applyAlignment="1" applyProtection="1">
      <alignment horizontal="center" vertical="center" wrapText="1"/>
      <protection hidden="1"/>
    </xf>
    <xf numFmtId="0" fontId="4" fillId="36" borderId="38" xfId="0" applyFont="1" applyFill="1" applyBorder="1" applyAlignment="1" applyProtection="1">
      <alignment horizontal="center" vertical="center" wrapText="1"/>
      <protection hidden="1"/>
    </xf>
    <xf numFmtId="0" fontId="9" fillId="0" borderId="0" xfId="0" applyFont="1" applyBorder="1" applyAlignment="1" applyProtection="1">
      <alignment horizontal="right"/>
      <protection hidden="1"/>
    </xf>
    <xf numFmtId="0" fontId="12" fillId="38" borderId="0" xfId="0" applyFont="1" applyFill="1" applyAlignment="1" applyProtection="1">
      <alignment horizontal="center" textRotation="90"/>
      <protection hidden="1"/>
    </xf>
    <xf numFmtId="0" fontId="9" fillId="38" borderId="0" xfId="0" applyFont="1" applyFill="1" applyAlignment="1" applyProtection="1">
      <alignment horizontal="center" textRotation="90"/>
      <protection hidden="1"/>
    </xf>
    <xf numFmtId="184" fontId="1" fillId="34" borderId="58" xfId="0" applyNumberFormat="1" applyFont="1" applyFill="1" applyBorder="1" applyAlignment="1" applyProtection="1">
      <alignment horizontal="center" vertical="center" wrapText="1"/>
      <protection hidden="1"/>
    </xf>
    <xf numFmtId="184" fontId="1" fillId="34" borderId="11" xfId="0" applyNumberFormat="1" applyFont="1" applyFill="1" applyBorder="1" applyAlignment="1" applyProtection="1">
      <alignment horizontal="center" vertical="center" wrapText="1"/>
      <protection hidden="1"/>
    </xf>
    <xf numFmtId="184" fontId="1" fillId="34" borderId="60" xfId="0" applyNumberFormat="1" applyFont="1" applyFill="1" applyBorder="1" applyAlignment="1" applyProtection="1">
      <alignment horizontal="center" vertical="center" wrapText="1"/>
      <protection hidden="1"/>
    </xf>
    <xf numFmtId="184" fontId="1" fillId="34" borderId="43" xfId="0" applyNumberFormat="1" applyFont="1" applyFill="1" applyBorder="1" applyAlignment="1" applyProtection="1">
      <alignment horizontal="center" vertical="center" wrapText="1"/>
      <protection hidden="1"/>
    </xf>
    <xf numFmtId="184" fontId="1" fillId="34" borderId="18" xfId="0" applyNumberFormat="1" applyFont="1" applyFill="1" applyBorder="1" applyAlignment="1" applyProtection="1">
      <alignment horizontal="center" vertical="center" wrapText="1"/>
      <protection hidden="1"/>
    </xf>
    <xf numFmtId="184" fontId="1" fillId="34" borderId="46" xfId="0" applyNumberFormat="1" applyFont="1" applyFill="1" applyBorder="1" applyAlignment="1" applyProtection="1">
      <alignment horizontal="center" vertical="center" wrapText="1"/>
      <protection hidden="1"/>
    </xf>
    <xf numFmtId="0" fontId="6" fillId="0" borderId="58" xfId="0" applyFont="1" applyBorder="1" applyAlignment="1" applyProtection="1">
      <alignment horizontal="center" vertical="center"/>
      <protection hidden="1"/>
    </xf>
    <xf numFmtId="0" fontId="6" fillId="0" borderId="60"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6" fillId="0" borderId="46" xfId="0" applyFont="1" applyBorder="1" applyAlignment="1" applyProtection="1">
      <alignment horizontal="center" vertical="center"/>
      <protection hidden="1"/>
    </xf>
    <xf numFmtId="0" fontId="1" fillId="37" borderId="58" xfId="0" applyFont="1" applyFill="1" applyBorder="1" applyAlignment="1" applyProtection="1">
      <alignment horizontal="center" vertical="center" wrapText="1"/>
      <protection hidden="1"/>
    </xf>
    <xf numFmtId="0" fontId="1" fillId="37" borderId="11" xfId="0" applyFont="1" applyFill="1" applyBorder="1" applyAlignment="1" applyProtection="1">
      <alignment horizontal="center" vertical="center" wrapText="1"/>
      <protection hidden="1"/>
    </xf>
    <xf numFmtId="0" fontId="1" fillId="37" borderId="60" xfId="0" applyFont="1" applyFill="1" applyBorder="1" applyAlignment="1" applyProtection="1">
      <alignment horizontal="center" vertical="center" wrapText="1"/>
      <protection hidden="1"/>
    </xf>
    <xf numFmtId="0" fontId="1" fillId="37" borderId="43" xfId="0" applyFont="1" applyFill="1" applyBorder="1" applyAlignment="1" applyProtection="1">
      <alignment horizontal="center" vertical="center" wrapText="1"/>
      <protection hidden="1"/>
    </xf>
    <xf numFmtId="0" fontId="1" fillId="37" borderId="18" xfId="0" applyFont="1" applyFill="1" applyBorder="1" applyAlignment="1" applyProtection="1">
      <alignment horizontal="center" vertical="center" wrapText="1"/>
      <protection hidden="1"/>
    </xf>
    <xf numFmtId="0" fontId="1" fillId="37" borderId="46" xfId="0" applyFont="1" applyFill="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61" xfId="0" applyFont="1" applyBorder="1" applyAlignment="1" applyProtection="1">
      <alignment horizontal="center" vertical="center"/>
      <protection hidden="1"/>
    </xf>
    <xf numFmtId="184" fontId="6" fillId="41" borderId="44" xfId="0" applyNumberFormat="1" applyFont="1" applyFill="1" applyBorder="1" applyAlignment="1" applyProtection="1">
      <alignment horizontal="left"/>
      <protection hidden="1"/>
    </xf>
    <xf numFmtId="184" fontId="6" fillId="41" borderId="30" xfId="0" applyNumberFormat="1" applyFont="1" applyFill="1" applyBorder="1" applyAlignment="1" applyProtection="1">
      <alignment horizontal="left"/>
      <protection hidden="1"/>
    </xf>
    <xf numFmtId="184" fontId="6" fillId="41" borderId="46" xfId="0" applyNumberFormat="1" applyFont="1" applyFill="1" applyBorder="1" applyAlignment="1" applyProtection="1">
      <alignment horizontal="left"/>
      <protection hidden="1"/>
    </xf>
    <xf numFmtId="184" fontId="10" fillId="34" borderId="62" xfId="0" applyNumberFormat="1" applyFont="1" applyFill="1" applyBorder="1" applyAlignment="1" applyProtection="1">
      <alignment horizontal="center" vertical="center" wrapText="1"/>
      <protection hidden="1"/>
    </xf>
    <xf numFmtId="184" fontId="10" fillId="34" borderId="63" xfId="0" applyNumberFormat="1"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4" fillId="34" borderId="29" xfId="0" applyFont="1" applyFill="1" applyBorder="1" applyAlignment="1" applyProtection="1">
      <alignment horizontal="center"/>
      <protection hidden="1"/>
    </xf>
    <xf numFmtId="0" fontId="4" fillId="34" borderId="30" xfId="0" applyFont="1" applyFill="1" applyBorder="1" applyAlignment="1" applyProtection="1">
      <alignment horizontal="center"/>
      <protection hidden="1"/>
    </xf>
    <xf numFmtId="0" fontId="4" fillId="34" borderId="53" xfId="0" applyFont="1" applyFill="1" applyBorder="1" applyAlignment="1" applyProtection="1">
      <alignment horizontal="center"/>
      <protection hidden="1"/>
    </xf>
    <xf numFmtId="0" fontId="10" fillId="0" borderId="36" xfId="0" applyFont="1" applyBorder="1" applyAlignment="1" applyProtection="1">
      <alignment horizontal="center" vertical="center" textRotation="90" wrapText="1"/>
      <protection hidden="1"/>
    </xf>
    <xf numFmtId="0" fontId="10" fillId="0" borderId="17" xfId="0" applyFont="1" applyBorder="1" applyAlignment="1" applyProtection="1">
      <alignment horizontal="center" vertical="center" textRotation="90" wrapText="1"/>
      <protection hidden="1"/>
    </xf>
    <xf numFmtId="0" fontId="21" fillId="38" borderId="0" xfId="0" applyFont="1" applyFill="1" applyAlignment="1" applyProtection="1">
      <alignment horizontal="center" textRotation="90"/>
      <protection hidden="1"/>
    </xf>
    <xf numFmtId="0" fontId="1" fillId="0" borderId="25" xfId="0" applyFont="1" applyBorder="1" applyAlignment="1" applyProtection="1">
      <alignment horizontal="center"/>
      <protection hidden="1"/>
    </xf>
    <xf numFmtId="0" fontId="10" fillId="0" borderId="64" xfId="0" applyFont="1" applyBorder="1" applyAlignment="1" applyProtection="1">
      <alignment horizontal="center" vertical="center" textRotation="90" wrapText="1"/>
      <protection hidden="1"/>
    </xf>
    <xf numFmtId="0" fontId="10" fillId="0" borderId="65" xfId="0" applyFont="1" applyBorder="1" applyAlignment="1" applyProtection="1">
      <alignment horizontal="center" vertical="center" textRotation="90" wrapText="1"/>
      <protection hidden="1"/>
    </xf>
    <xf numFmtId="0" fontId="10" fillId="0" borderId="62" xfId="0" applyFont="1" applyBorder="1" applyAlignment="1" applyProtection="1">
      <alignment horizontal="center" vertical="center" textRotation="90" wrapText="1"/>
      <protection hidden="1"/>
    </xf>
    <xf numFmtId="0" fontId="4" fillId="39" borderId="66" xfId="0" applyFont="1" applyFill="1" applyBorder="1" applyAlignment="1" applyProtection="1">
      <alignment horizontal="center"/>
      <protection hidden="1"/>
    </xf>
    <xf numFmtId="0" fontId="4" fillId="39" borderId="67" xfId="0" applyFont="1" applyFill="1" applyBorder="1" applyAlignment="1" applyProtection="1">
      <alignment horizontal="center"/>
      <protection hidden="1"/>
    </xf>
    <xf numFmtId="0" fontId="22" fillId="34" borderId="66" xfId="0" applyFont="1" applyFill="1" applyBorder="1" applyAlignment="1" applyProtection="1">
      <alignment horizontal="center"/>
      <protection hidden="1"/>
    </xf>
    <xf numFmtId="0" fontId="22" fillId="34" borderId="67" xfId="0" applyFont="1" applyFill="1" applyBorder="1" applyAlignment="1" applyProtection="1">
      <alignment horizontal="center"/>
      <protection hidden="1"/>
    </xf>
    <xf numFmtId="0" fontId="22" fillId="34" borderId="68" xfId="0" applyFont="1" applyFill="1" applyBorder="1" applyAlignment="1" applyProtection="1">
      <alignment horizontal="center"/>
      <protection hidden="1"/>
    </xf>
    <xf numFmtId="0" fontId="23" fillId="34" borderId="26" xfId="0" applyFont="1" applyFill="1" applyBorder="1" applyAlignment="1" applyProtection="1">
      <alignment horizontal="center"/>
      <protection hidden="1"/>
    </xf>
    <xf numFmtId="0" fontId="5" fillId="0" borderId="48"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5" fillId="0" borderId="69" xfId="0" applyFont="1" applyBorder="1" applyAlignment="1" applyProtection="1">
      <alignment horizontal="center" vertical="center"/>
      <protection hidden="1"/>
    </xf>
    <xf numFmtId="0" fontId="6" fillId="0" borderId="47" xfId="0" applyFont="1" applyFill="1" applyBorder="1" applyAlignment="1" applyProtection="1">
      <alignment horizontal="center" vertical="center"/>
      <protection hidden="1"/>
    </xf>
    <xf numFmtId="0" fontId="6" fillId="0" borderId="45" xfId="0" applyFont="1" applyFill="1" applyBorder="1" applyAlignment="1" applyProtection="1">
      <alignment horizontal="center" vertical="center"/>
      <protection hidden="1"/>
    </xf>
    <xf numFmtId="0" fontId="4" fillId="35" borderId="66" xfId="0" applyFont="1" applyFill="1" applyBorder="1" applyAlignment="1" applyProtection="1">
      <alignment horizontal="left" vertical="center"/>
      <protection locked="0"/>
    </xf>
    <xf numFmtId="0" fontId="4" fillId="35" borderId="67" xfId="0" applyFont="1" applyFill="1" applyBorder="1" applyAlignment="1" applyProtection="1">
      <alignment horizontal="left" vertical="center"/>
      <protection locked="0"/>
    </xf>
    <xf numFmtId="0" fontId="4" fillId="35" borderId="68" xfId="0" applyFont="1" applyFill="1" applyBorder="1" applyAlignment="1" applyProtection="1">
      <alignment horizontal="left" vertical="center"/>
      <protection locked="0"/>
    </xf>
    <xf numFmtId="0" fontId="5" fillId="0" borderId="70" xfId="0" applyFont="1" applyBorder="1" applyAlignment="1" applyProtection="1">
      <alignment horizontal="center" vertical="center"/>
      <protection hidden="1"/>
    </xf>
    <xf numFmtId="0" fontId="5" fillId="0" borderId="67" xfId="0" applyFont="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0" fontId="10" fillId="35" borderId="66" xfId="0" applyFont="1" applyFill="1" applyBorder="1" applyAlignment="1" applyProtection="1">
      <alignment horizontal="center" vertical="center"/>
      <protection locked="0"/>
    </xf>
    <xf numFmtId="0" fontId="10" fillId="35" borderId="67" xfId="0" applyFont="1" applyFill="1" applyBorder="1" applyAlignment="1" applyProtection="1">
      <alignment horizontal="center" vertical="center"/>
      <protection locked="0"/>
    </xf>
    <xf numFmtId="0" fontId="10" fillId="35" borderId="71" xfId="0" applyFont="1" applyFill="1" applyBorder="1" applyAlignment="1" applyProtection="1">
      <alignment horizontal="center" vertical="center"/>
      <protection locked="0"/>
    </xf>
    <xf numFmtId="0" fontId="8" fillId="0" borderId="49" xfId="0" applyFont="1" applyBorder="1" applyAlignment="1" applyProtection="1">
      <alignment horizontal="center" vertical="center"/>
      <protection hidden="1"/>
    </xf>
    <xf numFmtId="0" fontId="1" fillId="35" borderId="47" xfId="0" applyFont="1" applyFill="1" applyBorder="1" applyAlignment="1" applyProtection="1">
      <alignment horizontal="left" vertical="center"/>
      <protection locked="0"/>
    </xf>
    <xf numFmtId="0" fontId="1" fillId="35" borderId="45" xfId="0" applyFont="1" applyFill="1" applyBorder="1" applyAlignment="1" applyProtection="1">
      <alignment horizontal="left" vertical="center"/>
      <protection locked="0"/>
    </xf>
    <xf numFmtId="0" fontId="1" fillId="35" borderId="72"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20arr-Comp(VER-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NS"/>
      <sheetName val="Example"/>
      <sheetName val="3%(1-05)"/>
      <sheetName val="4%(7-05)"/>
      <sheetName val="3%(1-06)"/>
      <sheetName val="5%(7-06)"/>
      <sheetName val="3&amp;5%(1&amp;7-06)"/>
      <sheetName val="50%DA(UGC)"/>
      <sheetName val="Date values"/>
    </sheetNames>
    <sheetDataSet>
      <sheetData sheetId="3">
        <row r="2">
          <cell r="A2" t="str">
            <v>(Finance)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24"/>
  <sheetViews>
    <sheetView tabSelected="1" zoomScalePageLayoutView="0" workbookViewId="0" topLeftCell="C1">
      <selection activeCell="C1" sqref="C1:C2"/>
    </sheetView>
  </sheetViews>
  <sheetFormatPr defaultColWidth="9.140625" defaultRowHeight="12.75"/>
  <cols>
    <col min="1" max="1" width="3.28125" style="0" customWidth="1"/>
    <col min="2" max="2" width="7.8515625" style="0" customWidth="1"/>
    <col min="3" max="3" width="92.421875" style="0" customWidth="1"/>
  </cols>
  <sheetData>
    <row r="1" spans="2:3" ht="12.75" customHeight="1">
      <c r="B1" s="64" t="s">
        <v>15</v>
      </c>
      <c r="C1" s="164" t="s">
        <v>69</v>
      </c>
    </row>
    <row r="2" spans="2:3" ht="13.5" customHeight="1" thickBot="1">
      <c r="B2" s="65" t="s">
        <v>16</v>
      </c>
      <c r="C2" s="165"/>
    </row>
    <row r="3" ht="7.5" customHeight="1" thickBot="1">
      <c r="C3" s="66"/>
    </row>
    <row r="4" ht="18" customHeight="1" thickBot="1">
      <c r="C4" s="69" t="s">
        <v>70</v>
      </c>
    </row>
    <row r="5" ht="9.75" customHeight="1" thickBot="1">
      <c r="C5" s="66"/>
    </row>
    <row r="6" spans="2:3" ht="17.25" customHeight="1" thickBot="1">
      <c r="B6" s="89">
        <v>1</v>
      </c>
      <c r="C6" s="90" t="s">
        <v>120</v>
      </c>
    </row>
    <row r="7" spans="2:3" ht="17.25" customHeight="1" thickBot="1">
      <c r="B7" s="89">
        <v>2</v>
      </c>
      <c r="C7" s="90" t="s">
        <v>116</v>
      </c>
    </row>
    <row r="8" spans="2:3" ht="42" customHeight="1" hidden="1" thickBot="1">
      <c r="B8" s="89">
        <v>3</v>
      </c>
      <c r="C8" s="90" t="s">
        <v>118</v>
      </c>
    </row>
    <row r="9" spans="2:3" ht="29.25" customHeight="1" thickBot="1">
      <c r="B9" s="89">
        <v>4</v>
      </c>
      <c r="C9" s="90" t="s">
        <v>133</v>
      </c>
    </row>
    <row r="10" spans="2:3" ht="18" customHeight="1" thickBot="1">
      <c r="B10" s="89">
        <v>5</v>
      </c>
      <c r="C10" s="91" t="s">
        <v>71</v>
      </c>
    </row>
    <row r="11" spans="2:3" ht="55.5" customHeight="1" thickBot="1">
      <c r="B11" s="89">
        <v>6</v>
      </c>
      <c r="C11" s="90" t="s">
        <v>77</v>
      </c>
    </row>
    <row r="12" spans="2:3" ht="24" customHeight="1" thickBot="1">
      <c r="B12" s="89">
        <v>7</v>
      </c>
      <c r="C12" s="90" t="s">
        <v>109</v>
      </c>
    </row>
    <row r="13" spans="2:3" ht="65.25" customHeight="1" thickBot="1">
      <c r="B13" s="92">
        <v>8</v>
      </c>
      <c r="C13" s="93" t="s">
        <v>79</v>
      </c>
    </row>
    <row r="14" spans="2:3" ht="7.5" customHeight="1">
      <c r="B14" s="70"/>
      <c r="C14" s="71"/>
    </row>
    <row r="15" spans="2:3" ht="8.25" customHeight="1" thickBot="1">
      <c r="B15" s="67"/>
      <c r="C15" s="68"/>
    </row>
    <row r="16" spans="2:7" ht="39.75" customHeight="1" thickBot="1">
      <c r="B16" s="166" t="s">
        <v>127</v>
      </c>
      <c r="C16" s="167"/>
      <c r="D16" s="167"/>
      <c r="E16" s="167"/>
      <c r="F16" s="168"/>
      <c r="G16" s="111"/>
    </row>
    <row r="17" spans="2:3" ht="12.75">
      <c r="B17" s="67"/>
      <c r="C17" s="68"/>
    </row>
    <row r="18" spans="2:7" ht="18" customHeight="1">
      <c r="B18" s="169" t="s">
        <v>126</v>
      </c>
      <c r="C18" s="170"/>
      <c r="D18" s="170"/>
      <c r="E18" s="170"/>
      <c r="F18" s="171"/>
      <c r="G18" s="112"/>
    </row>
    <row r="19" spans="2:3" ht="12.75">
      <c r="B19" s="67"/>
      <c r="C19" s="68"/>
    </row>
    <row r="20" spans="2:3" ht="12.75">
      <c r="B20" s="67"/>
      <c r="C20" s="68"/>
    </row>
    <row r="21" spans="2:3" ht="12.75">
      <c r="B21" s="67"/>
      <c r="C21" s="66"/>
    </row>
    <row r="22" ht="12.75">
      <c r="C22" s="66"/>
    </row>
    <row r="23" ht="12.75">
      <c r="C23" s="66"/>
    </row>
    <row r="24" ht="12.75">
      <c r="C24" s="66"/>
    </row>
  </sheetData>
  <sheetProtection password="E568" sheet="1"/>
  <mergeCells count="3">
    <mergeCell ref="C1:C2"/>
    <mergeCell ref="B16:F16"/>
    <mergeCell ref="B18:F18"/>
  </mergeCell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K20"/>
  <sheetViews>
    <sheetView zoomScalePageLayoutView="0" workbookViewId="0" topLeftCell="A1">
      <selection activeCell="A1" sqref="A1"/>
    </sheetView>
  </sheetViews>
  <sheetFormatPr defaultColWidth="9.140625" defaultRowHeight="12.75"/>
  <cols>
    <col min="1" max="1" width="4.00390625" style="0" customWidth="1"/>
    <col min="2" max="2" width="101.00390625" style="0" customWidth="1"/>
  </cols>
  <sheetData>
    <row r="1" ht="13.5" thickBot="1"/>
    <row r="2" spans="2:11" ht="24" customHeight="1">
      <c r="B2" s="73" t="s">
        <v>72</v>
      </c>
      <c r="C2" s="72"/>
      <c r="D2" s="72"/>
      <c r="E2" s="72"/>
      <c r="F2" s="72"/>
      <c r="G2" s="72"/>
      <c r="H2" s="72"/>
      <c r="I2" s="72"/>
      <c r="J2" s="72"/>
      <c r="K2" s="72"/>
    </row>
    <row r="3" spans="2:11" ht="8.25" customHeight="1">
      <c r="B3" s="74"/>
      <c r="C3" s="72"/>
      <c r="D3" s="72"/>
      <c r="E3" s="72"/>
      <c r="F3" s="72"/>
      <c r="G3" s="72"/>
      <c r="H3" s="72"/>
      <c r="I3" s="72"/>
      <c r="J3" s="72"/>
      <c r="K3" s="72"/>
    </row>
    <row r="4" spans="2:11" ht="12.75">
      <c r="B4" s="75" t="s">
        <v>73</v>
      </c>
      <c r="C4" s="72"/>
      <c r="D4" s="72"/>
      <c r="E4" s="72"/>
      <c r="F4" s="72"/>
      <c r="G4" s="72"/>
      <c r="H4" s="72"/>
      <c r="I4" s="72"/>
      <c r="J4" s="72"/>
      <c r="K4" s="72"/>
    </row>
    <row r="5" spans="2:11" ht="12.75">
      <c r="B5" s="76" t="s">
        <v>137</v>
      </c>
      <c r="C5" s="72"/>
      <c r="D5" s="72"/>
      <c r="E5" s="72"/>
      <c r="F5" s="72"/>
      <c r="G5" s="72"/>
      <c r="H5" s="72"/>
      <c r="I5" s="72"/>
      <c r="J5" s="72"/>
      <c r="K5" s="72"/>
    </row>
    <row r="6" spans="2:11" ht="12.75">
      <c r="B6" s="76" t="s">
        <v>138</v>
      </c>
      <c r="C6" s="72"/>
      <c r="D6" s="72"/>
      <c r="E6" s="72"/>
      <c r="F6" s="72"/>
      <c r="G6" s="72"/>
      <c r="H6" s="72"/>
      <c r="I6" s="72"/>
      <c r="J6" s="72"/>
      <c r="K6" s="72"/>
    </row>
    <row r="7" spans="2:11" ht="12.75">
      <c r="B7" s="76" t="s">
        <v>139</v>
      </c>
      <c r="C7" s="72"/>
      <c r="D7" s="72"/>
      <c r="E7" s="72"/>
      <c r="F7" s="72"/>
      <c r="G7" s="72"/>
      <c r="H7" s="72"/>
      <c r="I7" s="72"/>
      <c r="J7" s="72"/>
      <c r="K7" s="72"/>
    </row>
    <row r="8" spans="2:11" ht="12.75">
      <c r="B8" s="75"/>
      <c r="C8" s="72"/>
      <c r="D8" s="72"/>
      <c r="E8" s="72"/>
      <c r="F8" s="72"/>
      <c r="G8" s="72"/>
      <c r="H8" s="72"/>
      <c r="I8" s="72"/>
      <c r="J8" s="72"/>
      <c r="K8" s="72"/>
    </row>
    <row r="9" spans="2:11" ht="25.5">
      <c r="B9" s="75" t="s">
        <v>140</v>
      </c>
      <c r="C9" s="72"/>
      <c r="D9" s="72"/>
      <c r="E9" s="72"/>
      <c r="F9" s="72"/>
      <c r="G9" s="72"/>
      <c r="H9" s="72"/>
      <c r="I9" s="72"/>
      <c r="J9" s="72"/>
      <c r="K9" s="72"/>
    </row>
    <row r="10" spans="2:11" ht="12.75">
      <c r="B10" s="75"/>
      <c r="C10" s="72"/>
      <c r="D10" s="72"/>
      <c r="E10" s="72"/>
      <c r="F10" s="72"/>
      <c r="G10" s="72"/>
      <c r="H10" s="72"/>
      <c r="I10" s="72"/>
      <c r="J10" s="72"/>
      <c r="K10" s="72"/>
    </row>
    <row r="11" spans="2:11" ht="12.75">
      <c r="B11" s="75" t="s">
        <v>141</v>
      </c>
      <c r="C11" s="72"/>
      <c r="D11" s="72"/>
      <c r="E11" s="72"/>
      <c r="F11" s="72"/>
      <c r="G11" s="72"/>
      <c r="H11" s="72"/>
      <c r="I11" s="72"/>
      <c r="J11" s="72"/>
      <c r="K11" s="72"/>
    </row>
    <row r="12" spans="2:11" ht="25.5">
      <c r="B12" s="75" t="s">
        <v>142</v>
      </c>
      <c r="C12" s="72"/>
      <c r="D12" s="72"/>
      <c r="E12" s="72"/>
      <c r="F12" s="72"/>
      <c r="G12" s="72"/>
      <c r="H12" s="72"/>
      <c r="I12" s="72"/>
      <c r="J12" s="72"/>
      <c r="K12" s="72"/>
    </row>
    <row r="13" spans="2:11" ht="26.25" thickBot="1">
      <c r="B13" s="77" t="s">
        <v>143</v>
      </c>
      <c r="C13" s="72"/>
      <c r="D13" s="72"/>
      <c r="E13" s="72"/>
      <c r="F13" s="72"/>
      <c r="G13" s="72"/>
      <c r="H13" s="72"/>
      <c r="I13" s="72"/>
      <c r="J13" s="72"/>
      <c r="K13" s="72"/>
    </row>
    <row r="14" spans="2:11" ht="12.75">
      <c r="B14" s="72"/>
      <c r="C14" s="72"/>
      <c r="D14" s="72"/>
      <c r="E14" s="72"/>
      <c r="F14" s="72"/>
      <c r="G14" s="72"/>
      <c r="H14" s="72"/>
      <c r="I14" s="72"/>
      <c r="J14" s="72"/>
      <c r="K14" s="72"/>
    </row>
    <row r="15" spans="2:11" ht="12.75">
      <c r="B15" s="72"/>
      <c r="C15" s="72"/>
      <c r="D15" s="72"/>
      <c r="E15" s="72"/>
      <c r="F15" s="72"/>
      <c r="G15" s="72"/>
      <c r="H15" s="72"/>
      <c r="I15" s="72"/>
      <c r="J15" s="72"/>
      <c r="K15" s="72"/>
    </row>
    <row r="16" spans="2:11" ht="12.75">
      <c r="B16" s="72"/>
      <c r="C16" s="72"/>
      <c r="D16" s="72"/>
      <c r="E16" s="72"/>
      <c r="F16" s="72"/>
      <c r="G16" s="72"/>
      <c r="H16" s="72"/>
      <c r="I16" s="72"/>
      <c r="J16" s="72"/>
      <c r="K16" s="72"/>
    </row>
    <row r="17" spans="2:11" ht="12.75">
      <c r="B17" s="72"/>
      <c r="C17" s="72"/>
      <c r="D17" s="72"/>
      <c r="E17" s="72"/>
      <c r="F17" s="72"/>
      <c r="G17" s="72"/>
      <c r="H17" s="72"/>
      <c r="I17" s="72"/>
      <c r="J17" s="72"/>
      <c r="K17" s="72"/>
    </row>
    <row r="18" spans="2:11" ht="12.75">
      <c r="B18" s="72"/>
      <c r="C18" s="72"/>
      <c r="D18" s="72"/>
      <c r="E18" s="72"/>
      <c r="F18" s="72"/>
      <c r="G18" s="72"/>
      <c r="H18" s="72"/>
      <c r="I18" s="72"/>
      <c r="J18" s="72"/>
      <c r="K18" s="72"/>
    </row>
    <row r="19" spans="2:11" ht="12.75">
      <c r="B19" s="72"/>
      <c r="C19" s="72"/>
      <c r="D19" s="72"/>
      <c r="E19" s="72"/>
      <c r="F19" s="72"/>
      <c r="G19" s="72"/>
      <c r="H19" s="72"/>
      <c r="I19" s="72"/>
      <c r="J19" s="72"/>
      <c r="K19" s="72"/>
    </row>
    <row r="20" spans="2:11" ht="12.75">
      <c r="B20" s="72"/>
      <c r="C20" s="72"/>
      <c r="D20" s="72"/>
      <c r="E20" s="72"/>
      <c r="F20" s="72"/>
      <c r="G20" s="72"/>
      <c r="H20" s="72"/>
      <c r="I20" s="72"/>
      <c r="J20" s="72"/>
      <c r="K20" s="72"/>
    </row>
  </sheetData>
  <sheetProtection password="E568" sheet="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A101"/>
  <sheetViews>
    <sheetView view="pageBreakPreview" zoomScaleSheetLayoutView="100" zoomScalePageLayoutView="0" workbookViewId="0" topLeftCell="A1">
      <selection activeCell="A1" sqref="A1"/>
    </sheetView>
  </sheetViews>
  <sheetFormatPr defaultColWidth="9.140625" defaultRowHeight="12.75"/>
  <cols>
    <col min="1" max="1" width="7.140625" style="25" customWidth="1"/>
    <col min="2" max="2" width="5.140625" style="25" customWidth="1"/>
    <col min="3" max="3" width="4.421875" style="25" customWidth="1"/>
    <col min="4" max="4" width="5.140625" style="25" customWidth="1"/>
    <col min="5" max="5" width="5.8515625" style="25" customWidth="1"/>
    <col min="6" max="6" width="6.8515625" style="25" customWidth="1"/>
    <col min="7" max="7" width="7.28125" style="25" customWidth="1"/>
    <col min="8" max="8" width="7.00390625" style="25" customWidth="1"/>
    <col min="9" max="9" width="8.28125" style="25" customWidth="1"/>
    <col min="10" max="10" width="6.28125" style="25" customWidth="1"/>
    <col min="11" max="11" width="5.140625" style="25" customWidth="1"/>
    <col min="12" max="12" width="7.7109375" style="25" customWidth="1"/>
    <col min="13" max="13" width="1.1484375" style="25" customWidth="1"/>
    <col min="14" max="14" width="7.00390625" style="25" customWidth="1"/>
    <col min="15" max="15" width="7.7109375" style="25" customWidth="1"/>
    <col min="16" max="16" width="7.28125" style="25" customWidth="1"/>
    <col min="17" max="17" width="8.421875" style="25" customWidth="1"/>
    <col min="18" max="18" width="6.28125" style="25" customWidth="1"/>
    <col min="19" max="19" width="5.140625" style="25" customWidth="1"/>
    <col min="20" max="20" width="7.7109375" style="25" customWidth="1"/>
    <col min="21" max="21" width="9.28125" style="25" customWidth="1"/>
    <col min="22" max="22" width="14.140625" style="39" customWidth="1"/>
    <col min="23" max="23" width="9.7109375" style="114" hidden="1" customWidth="1"/>
    <col min="24" max="24" width="6.8515625" style="114" hidden="1" customWidth="1"/>
    <col min="25" max="25" width="4.421875" style="114" hidden="1" customWidth="1"/>
    <col min="26" max="26" width="4.140625" style="114" hidden="1" customWidth="1"/>
    <col min="27" max="27" width="5.00390625" style="114" hidden="1" customWidth="1"/>
    <col min="28" max="28" width="4.140625" style="114" hidden="1" customWidth="1"/>
    <col min="29" max="29" width="3.7109375" style="114" hidden="1" customWidth="1"/>
    <col min="30" max="30" width="3.8515625" style="114" hidden="1" customWidth="1"/>
    <col min="31" max="31" width="4.00390625" style="114" hidden="1" customWidth="1"/>
    <col min="32" max="33" width="5.7109375" style="114" hidden="1" customWidth="1"/>
    <col min="34" max="34" width="5.8515625" style="114" hidden="1" customWidth="1"/>
    <col min="35" max="36" width="5.28125" style="114" hidden="1" customWidth="1"/>
    <col min="37" max="37" width="8.57421875" style="114" hidden="1" customWidth="1"/>
    <col min="38" max="38" width="6.00390625" style="114" hidden="1" customWidth="1"/>
    <col min="39" max="39" width="5.7109375" style="114" hidden="1" customWidth="1"/>
    <col min="40" max="40" width="8.28125" style="114" hidden="1" customWidth="1"/>
    <col min="41" max="42" width="9.140625" style="114" hidden="1" customWidth="1"/>
    <col min="43" max="43" width="3.28125" style="114" hidden="1" customWidth="1"/>
    <col min="44" max="45" width="6.00390625" style="114" hidden="1" customWidth="1"/>
    <col min="46" max="46" width="4.00390625" style="114" hidden="1" customWidth="1"/>
    <col min="47" max="47" width="5.28125" style="114" hidden="1" customWidth="1"/>
    <col min="48" max="48" width="5.57421875" style="114" hidden="1" customWidth="1"/>
    <col min="49" max="49" width="6.421875" style="114" hidden="1" customWidth="1"/>
    <col min="50" max="50" width="5.421875" style="114" hidden="1" customWidth="1"/>
    <col min="51" max="51" width="5.57421875" style="114" hidden="1" customWidth="1"/>
    <col min="52" max="52" width="7.421875" style="114" hidden="1" customWidth="1"/>
    <col min="53" max="53" width="8.7109375" style="114" hidden="1" customWidth="1"/>
    <col min="54" max="54" width="8.8515625" style="114" hidden="1" customWidth="1"/>
    <col min="55" max="55" width="2.8515625" style="114" hidden="1" customWidth="1"/>
    <col min="56" max="56" width="5.421875" style="114" hidden="1" customWidth="1"/>
    <col min="57" max="57" width="5.7109375" style="114" hidden="1" customWidth="1"/>
    <col min="58" max="58" width="5.57421875" style="114" hidden="1" customWidth="1"/>
    <col min="59" max="60" width="5.28125" style="114" hidden="1" customWidth="1"/>
    <col min="61" max="61" width="5.421875" style="114" hidden="1" customWidth="1"/>
    <col min="62" max="62" width="5.140625" style="114" hidden="1" customWidth="1"/>
    <col min="63" max="63" width="5.28125" style="114" hidden="1" customWidth="1"/>
    <col min="64" max="64" width="8.28125" style="114" hidden="1" customWidth="1"/>
    <col min="65" max="65" width="8.57421875" style="114" hidden="1" customWidth="1"/>
    <col min="66" max="66" width="6.28125" style="114" hidden="1" customWidth="1"/>
    <col min="67" max="67" width="9.00390625" style="114" hidden="1" customWidth="1"/>
    <col min="68" max="68" width="2.57421875" style="114" hidden="1" customWidth="1"/>
    <col min="69" max="69" width="7.57421875" style="114" hidden="1" customWidth="1"/>
    <col min="70" max="70" width="7.28125" style="114" hidden="1" customWidth="1"/>
    <col min="71" max="71" width="5.421875" style="114" hidden="1" customWidth="1"/>
    <col min="72" max="72" width="6.57421875" style="114" hidden="1" customWidth="1"/>
    <col min="73" max="73" width="4.7109375" style="114" hidden="1" customWidth="1"/>
    <col min="74" max="75" width="5.8515625" style="114" hidden="1" customWidth="1"/>
    <col min="76" max="81" width="9.140625" style="114" hidden="1" customWidth="1"/>
    <col min="82" max="82" width="9.140625" style="39" customWidth="1"/>
    <col min="83" max="16384" width="9.140625" style="25" customWidth="1"/>
  </cols>
  <sheetData>
    <row r="1" spans="1:27" ht="12.75">
      <c r="A1" s="1" t="s">
        <v>15</v>
      </c>
      <c r="U1" s="113">
        <v>41255</v>
      </c>
      <c r="Z1" s="115" t="s">
        <v>23</v>
      </c>
      <c r="AA1" s="114" t="s">
        <v>110</v>
      </c>
    </row>
    <row r="2" spans="1:27" ht="12.75">
      <c r="A2" s="2" t="str">
        <f>+'[1]4%(7-05)'!A2</f>
        <v>(Finance)</v>
      </c>
      <c r="Z2" s="115" t="s">
        <v>24</v>
      </c>
      <c r="AA2" s="114" t="s">
        <v>111</v>
      </c>
    </row>
    <row r="3" spans="1:27" ht="37.5" customHeight="1">
      <c r="A3" s="4"/>
      <c r="B3" s="195" t="s">
        <v>134</v>
      </c>
      <c r="C3" s="195"/>
      <c r="D3" s="195"/>
      <c r="E3" s="195"/>
      <c r="F3" s="195"/>
      <c r="G3" s="195"/>
      <c r="H3" s="195"/>
      <c r="I3" s="195"/>
      <c r="J3" s="195"/>
      <c r="K3" s="195"/>
      <c r="L3" s="195"/>
      <c r="M3" s="195"/>
      <c r="N3" s="195"/>
      <c r="O3" s="195"/>
      <c r="P3" s="195"/>
      <c r="Q3" s="195"/>
      <c r="R3" s="195"/>
      <c r="S3" s="195"/>
      <c r="T3" s="195"/>
      <c r="U3" s="195"/>
      <c r="Z3" s="115" t="s">
        <v>25</v>
      </c>
      <c r="AA3" s="114" t="s">
        <v>112</v>
      </c>
    </row>
    <row r="4" spans="3:27" ht="10.5" customHeight="1" thickBot="1">
      <c r="C4" s="35"/>
      <c r="K4" s="14"/>
      <c r="L4" s="14"/>
      <c r="Z4" s="115" t="s">
        <v>26</v>
      </c>
      <c r="AA4" s="114" t="s">
        <v>113</v>
      </c>
    </row>
    <row r="5" spans="2:27" ht="14.25">
      <c r="B5" s="34" t="s">
        <v>17</v>
      </c>
      <c r="C5" s="87"/>
      <c r="D5" s="249"/>
      <c r="E5" s="250"/>
      <c r="F5" s="250"/>
      <c r="G5" s="250"/>
      <c r="H5" s="250"/>
      <c r="I5" s="250"/>
      <c r="J5" s="251"/>
      <c r="K5" s="46" t="s">
        <v>18</v>
      </c>
      <c r="L5" s="48"/>
      <c r="M5" s="36"/>
      <c r="N5" s="252" t="s">
        <v>20</v>
      </c>
      <c r="O5" s="253"/>
      <c r="P5" s="254"/>
      <c r="Q5" s="255"/>
      <c r="R5" s="256"/>
      <c r="S5" s="256"/>
      <c r="T5" s="256"/>
      <c r="U5" s="257"/>
      <c r="Z5" s="115" t="s">
        <v>27</v>
      </c>
      <c r="AA5" s="114" t="s">
        <v>114</v>
      </c>
    </row>
    <row r="6" spans="2:27" ht="23.25" thickBot="1">
      <c r="B6" s="154" t="s">
        <v>64</v>
      </c>
      <c r="C6" s="155"/>
      <c r="D6" s="258" t="s">
        <v>65</v>
      </c>
      <c r="E6" s="258"/>
      <c r="F6" s="259"/>
      <c r="G6" s="260"/>
      <c r="H6" s="260"/>
      <c r="I6" s="260"/>
      <c r="J6" s="260"/>
      <c r="K6" s="260"/>
      <c r="L6" s="261"/>
      <c r="M6" s="35"/>
      <c r="N6" s="244" t="s">
        <v>66</v>
      </c>
      <c r="O6" s="245"/>
      <c r="P6" s="246"/>
      <c r="Q6" s="107"/>
      <c r="R6" s="247"/>
      <c r="S6" s="248"/>
      <c r="T6" s="82" t="s">
        <v>19</v>
      </c>
      <c r="U6" s="88"/>
      <c r="Z6" s="115" t="s">
        <v>28</v>
      </c>
      <c r="AA6" s="114" t="s">
        <v>115</v>
      </c>
    </row>
    <row r="7" spans="1:81" ht="12.75">
      <c r="A7" s="14"/>
      <c r="B7" s="152"/>
      <c r="C7" s="152"/>
      <c r="D7" s="152"/>
      <c r="E7" s="152"/>
      <c r="F7" s="152"/>
      <c r="G7" s="152"/>
      <c r="H7" s="152"/>
      <c r="I7" s="152"/>
      <c r="J7" s="152"/>
      <c r="K7" s="152"/>
      <c r="L7" s="153"/>
      <c r="M7" s="37"/>
      <c r="N7" s="3"/>
      <c r="O7" s="3"/>
      <c r="P7" s="3"/>
      <c r="Q7" s="4"/>
      <c r="R7" s="4"/>
      <c r="S7" s="4"/>
      <c r="T7" s="4"/>
      <c r="U7" s="4"/>
      <c r="V7" s="78"/>
      <c r="W7" s="116"/>
      <c r="X7" s="116"/>
      <c r="Y7" s="116" t="s">
        <v>47</v>
      </c>
      <c r="Z7" s="115" t="s">
        <v>29</v>
      </c>
      <c r="AA7" s="115" t="s">
        <v>122</v>
      </c>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row>
    <row r="8" spans="3:27" ht="9" customHeight="1">
      <c r="C8" s="38"/>
      <c r="D8" s="38"/>
      <c r="E8" s="38"/>
      <c r="F8" s="4"/>
      <c r="G8" s="4"/>
      <c r="H8" s="4"/>
      <c r="I8" s="4"/>
      <c r="K8" s="4"/>
      <c r="M8" s="39"/>
      <c r="N8" s="3"/>
      <c r="O8" s="3"/>
      <c r="P8" s="3"/>
      <c r="Q8" s="4"/>
      <c r="R8" s="4"/>
      <c r="S8" s="4"/>
      <c r="T8" s="4"/>
      <c r="U8" s="4"/>
      <c r="Y8" s="116" t="s">
        <v>48</v>
      </c>
      <c r="Z8" s="115" t="s">
        <v>30</v>
      </c>
      <c r="AA8" s="114" t="s">
        <v>123</v>
      </c>
    </row>
    <row r="9" spans="19:27" ht="12.75" customHeight="1" thickBot="1">
      <c r="S9" s="234" t="s">
        <v>42</v>
      </c>
      <c r="T9" s="234"/>
      <c r="U9" s="234"/>
      <c r="Y9" s="116" t="s">
        <v>54</v>
      </c>
      <c r="Z9" s="115" t="s">
        <v>31</v>
      </c>
      <c r="AA9" s="115" t="s">
        <v>130</v>
      </c>
    </row>
    <row r="10" spans="1:27" ht="14.25">
      <c r="A10" s="235" t="s">
        <v>35</v>
      </c>
      <c r="B10" s="238" t="s">
        <v>117</v>
      </c>
      <c r="C10" s="239"/>
      <c r="D10" s="239"/>
      <c r="E10" s="239"/>
      <c r="F10" s="240" t="s">
        <v>45</v>
      </c>
      <c r="G10" s="241"/>
      <c r="H10" s="241"/>
      <c r="I10" s="241"/>
      <c r="J10" s="241"/>
      <c r="K10" s="241"/>
      <c r="L10" s="242"/>
      <c r="M10" s="5"/>
      <c r="N10" s="243" t="s">
        <v>46</v>
      </c>
      <c r="O10" s="243"/>
      <c r="P10" s="243"/>
      <c r="Q10" s="243"/>
      <c r="R10" s="243"/>
      <c r="S10" s="243"/>
      <c r="T10" s="243"/>
      <c r="U10" s="6" t="s">
        <v>14</v>
      </c>
      <c r="Y10" s="116" t="s">
        <v>55</v>
      </c>
      <c r="Z10" s="115" t="s">
        <v>32</v>
      </c>
      <c r="AA10" s="114" t="s">
        <v>131</v>
      </c>
    </row>
    <row r="11" spans="1:26" ht="14.25" customHeight="1">
      <c r="A11" s="236"/>
      <c r="B11" s="231" t="s">
        <v>49</v>
      </c>
      <c r="C11" s="231" t="s">
        <v>53</v>
      </c>
      <c r="D11" s="231" t="s">
        <v>50</v>
      </c>
      <c r="E11" s="231" t="s">
        <v>51</v>
      </c>
      <c r="F11" s="228" t="s">
        <v>52</v>
      </c>
      <c r="G11" s="229"/>
      <c r="H11" s="229"/>
      <c r="I11" s="229"/>
      <c r="J11" s="229"/>
      <c r="K11" s="230"/>
      <c r="L11" s="231" t="s">
        <v>124</v>
      </c>
      <c r="M11" s="4"/>
      <c r="N11" s="228" t="s">
        <v>52</v>
      </c>
      <c r="O11" s="229"/>
      <c r="P11" s="229"/>
      <c r="Q11" s="229"/>
      <c r="R11" s="229"/>
      <c r="S11" s="230"/>
      <c r="T11" s="231" t="s">
        <v>125</v>
      </c>
      <c r="U11" s="30"/>
      <c r="Y11" s="116" t="s">
        <v>47</v>
      </c>
      <c r="Z11" s="115" t="s">
        <v>33</v>
      </c>
    </row>
    <row r="12" spans="1:63" ht="87.75" customHeight="1">
      <c r="A12" s="237"/>
      <c r="B12" s="232"/>
      <c r="C12" s="232"/>
      <c r="D12" s="232"/>
      <c r="E12" s="232"/>
      <c r="F12" s="84" t="s">
        <v>0</v>
      </c>
      <c r="G12" s="84" t="s">
        <v>78</v>
      </c>
      <c r="H12" s="84" t="s">
        <v>132</v>
      </c>
      <c r="I12" s="83" t="s">
        <v>136</v>
      </c>
      <c r="J12" s="84" t="s">
        <v>41</v>
      </c>
      <c r="K12" s="84" t="s">
        <v>1</v>
      </c>
      <c r="L12" s="232"/>
      <c r="M12" s="7"/>
      <c r="N12" s="84" t="s">
        <v>0</v>
      </c>
      <c r="O12" s="84" t="s">
        <v>78</v>
      </c>
      <c r="P12" s="84" t="s">
        <v>132</v>
      </c>
      <c r="Q12" s="83" t="s">
        <v>135</v>
      </c>
      <c r="R12" s="84" t="s">
        <v>41</v>
      </c>
      <c r="S12" s="84" t="s">
        <v>1</v>
      </c>
      <c r="T12" s="232"/>
      <c r="U12" s="85" t="s">
        <v>61</v>
      </c>
      <c r="Y12" s="116" t="s">
        <v>56</v>
      </c>
      <c r="Z12" s="115" t="s">
        <v>34</v>
      </c>
      <c r="AD12" s="117" t="s">
        <v>80</v>
      </c>
      <c r="AE12" s="117" t="s">
        <v>81</v>
      </c>
      <c r="AF12" s="118" t="s">
        <v>82</v>
      </c>
      <c r="AG12" s="118" t="s">
        <v>83</v>
      </c>
      <c r="AH12" s="118" t="s">
        <v>86</v>
      </c>
      <c r="AI12" s="118" t="s">
        <v>84</v>
      </c>
      <c r="AJ12" s="119" t="s">
        <v>87</v>
      </c>
      <c r="AK12" s="119" t="s">
        <v>88</v>
      </c>
      <c r="AL12" s="118" t="s">
        <v>105</v>
      </c>
      <c r="AM12" s="118" t="s">
        <v>85</v>
      </c>
      <c r="AN12" s="119" t="s">
        <v>104</v>
      </c>
      <c r="AO12" s="119" t="s">
        <v>106</v>
      </c>
      <c r="AP12" s="119" t="s">
        <v>107</v>
      </c>
      <c r="AR12" s="120" t="s">
        <v>91</v>
      </c>
      <c r="AS12" s="120" t="s">
        <v>89</v>
      </c>
      <c r="AT12" s="120" t="s">
        <v>90</v>
      </c>
      <c r="AU12" s="120" t="s">
        <v>92</v>
      </c>
      <c r="AV12" s="121" t="s">
        <v>93</v>
      </c>
      <c r="AW12" s="121" t="s">
        <v>94</v>
      </c>
      <c r="AX12" s="120" t="s">
        <v>95</v>
      </c>
      <c r="AY12" s="120" t="s">
        <v>96</v>
      </c>
      <c r="AZ12" s="121" t="s">
        <v>97</v>
      </c>
      <c r="BA12" s="121" t="s">
        <v>98</v>
      </c>
      <c r="BB12" s="121" t="s">
        <v>108</v>
      </c>
      <c r="BD12" s="151" t="s">
        <v>99</v>
      </c>
      <c r="BE12" s="122" t="s">
        <v>100</v>
      </c>
      <c r="BF12" s="122" t="s">
        <v>101</v>
      </c>
      <c r="BG12" s="122" t="s">
        <v>101</v>
      </c>
      <c r="BH12" s="233" t="s">
        <v>102</v>
      </c>
      <c r="BI12" s="202"/>
      <c r="BJ12" s="201" t="s">
        <v>103</v>
      </c>
      <c r="BK12" s="202"/>
    </row>
    <row r="13" spans="1:63" ht="13.5" thickBot="1">
      <c r="A13" s="8" t="s">
        <v>40</v>
      </c>
      <c r="B13" s="9" t="s">
        <v>2</v>
      </c>
      <c r="C13" s="9" t="s">
        <v>3</v>
      </c>
      <c r="D13" s="9" t="s">
        <v>4</v>
      </c>
      <c r="E13" s="9" t="s">
        <v>5</v>
      </c>
      <c r="F13" s="9" t="s">
        <v>6</v>
      </c>
      <c r="G13" s="9" t="s">
        <v>7</v>
      </c>
      <c r="H13" s="9" t="s">
        <v>8</v>
      </c>
      <c r="I13" s="9" t="s">
        <v>9</v>
      </c>
      <c r="J13" s="9" t="s">
        <v>10</v>
      </c>
      <c r="K13" s="9" t="s">
        <v>11</v>
      </c>
      <c r="L13" s="9" t="s">
        <v>12</v>
      </c>
      <c r="M13" s="29"/>
      <c r="N13" s="11" t="s">
        <v>13</v>
      </c>
      <c r="O13" s="12" t="s">
        <v>43</v>
      </c>
      <c r="P13" s="9" t="s">
        <v>57</v>
      </c>
      <c r="Q13" s="9" t="s">
        <v>58</v>
      </c>
      <c r="R13" s="11" t="s">
        <v>59</v>
      </c>
      <c r="S13" s="12" t="s">
        <v>60</v>
      </c>
      <c r="T13" s="11" t="s">
        <v>67</v>
      </c>
      <c r="U13" s="12" t="s">
        <v>68</v>
      </c>
      <c r="BE13" s="123" t="s">
        <v>76</v>
      </c>
      <c r="BF13" s="124" t="s">
        <v>74</v>
      </c>
      <c r="BG13" s="124" t="s">
        <v>75</v>
      </c>
      <c r="BH13" s="114" t="s">
        <v>62</v>
      </c>
      <c r="BI13" s="114" t="s">
        <v>63</v>
      </c>
      <c r="BJ13" s="114" t="s">
        <v>62</v>
      </c>
      <c r="BK13" s="114" t="s">
        <v>63</v>
      </c>
    </row>
    <row r="14" spans="1:63" ht="6" customHeight="1" thickTop="1">
      <c r="A14" s="28"/>
      <c r="B14" s="28"/>
      <c r="C14" s="28"/>
      <c r="D14" s="28"/>
      <c r="E14" s="28"/>
      <c r="F14" s="28"/>
      <c r="G14" s="28"/>
      <c r="H14" s="28"/>
      <c r="I14" s="28"/>
      <c r="J14" s="28"/>
      <c r="K14" s="28"/>
      <c r="L14" s="28"/>
      <c r="M14" s="10"/>
      <c r="N14" s="28"/>
      <c r="O14" s="28"/>
      <c r="P14" s="28"/>
      <c r="Q14" s="28"/>
      <c r="R14" s="28"/>
      <c r="S14" s="28"/>
      <c r="T14" s="28"/>
      <c r="U14" s="28"/>
      <c r="BH14" s="125"/>
      <c r="BI14" s="125"/>
      <c r="BJ14" s="125"/>
      <c r="BK14" s="125"/>
    </row>
    <row r="15" spans="1:81" ht="12.75">
      <c r="A15" s="56">
        <v>41091</v>
      </c>
      <c r="B15" s="156">
        <f>IF($Q$6="","",$Q$6)</f>
      </c>
      <c r="C15" s="97"/>
      <c r="D15" s="32"/>
      <c r="E15" s="32"/>
      <c r="F15" s="32"/>
      <c r="G15" s="33">
        <f>IF($Q$6="U-96",ROUND((F15*0.5),0),0)</f>
        <v>0</v>
      </c>
      <c r="H15" s="32"/>
      <c r="I15" s="13">
        <f>IF(F15="",0,IF(OR($Q$6="S-04",$Q$6="S-10"),BH15,IF(OR($Q$6="U-96",$Q$6="U-06"),BI15,"Fill Q6")))</f>
        <v>0</v>
      </c>
      <c r="J15" s="32"/>
      <c r="K15" s="32"/>
      <c r="L15" s="94">
        <f>IF(F15=0,0,IF(OR(E15=0,E15=""),AK15,BL15))</f>
        <v>0</v>
      </c>
      <c r="M15" s="37"/>
      <c r="N15" s="33">
        <f aca="true" t="shared" si="0" ref="N15:P18">+F15</f>
        <v>0</v>
      </c>
      <c r="O15" s="33">
        <f t="shared" si="0"/>
        <v>0</v>
      </c>
      <c r="P15" s="33">
        <f t="shared" si="0"/>
        <v>0</v>
      </c>
      <c r="Q15" s="13">
        <f>IF(F15="",0,IF(OR($Q$6="S-04",$Q$6="S-10"),BJ15,IF(OR($Q$6="U-96",$Q$6="U-06"),BK15,"Fill Q6")))</f>
        <v>0</v>
      </c>
      <c r="R15" s="33">
        <f aca="true" t="shared" si="1" ref="R15:S18">+J15</f>
        <v>0</v>
      </c>
      <c r="S15" s="33">
        <f t="shared" si="1"/>
        <v>0</v>
      </c>
      <c r="T15" s="31">
        <f>IF(F15="",0,IF(OR(E15="",E15=0),AW15,BQ15))</f>
        <v>0</v>
      </c>
      <c r="U15" s="50">
        <f>SUM(L15-T15)</f>
        <v>0</v>
      </c>
      <c r="V15" s="79">
        <f aca="true" t="shared" si="2" ref="V15:V21">IF(L15=0,"",IF(AND(L15&gt;0),IF(AND(B15="",C15=""),"Select an option for 'Scale of pay' &amp; 'HRA code'in this Row","")))</f>
      </c>
      <c r="W15" s="126"/>
      <c r="X15" s="127">
        <f>+A15</f>
        <v>41091</v>
      </c>
      <c r="Y15" s="128">
        <f>IF(X15="",0,+DAY(X15))</f>
        <v>1</v>
      </c>
      <c r="Z15" s="128">
        <f>IF(X15="",0,+MONTH(X15))</f>
        <v>7</v>
      </c>
      <c r="AA15" s="128">
        <f>IF(X15="",0,+YEAR(X15))</f>
        <v>2012</v>
      </c>
      <c r="AB15" s="129">
        <f>IF(Z15=0,1,(+IF(OR(Z15=1,Z15=3,Z15=5,Z15=7,Z15=8,Z15=10,Z15=12),31,IF(OR(Z15=4,Z15=6,Z15=9,Z15=11),30,28))))</f>
        <v>31</v>
      </c>
      <c r="AC15" s="129">
        <f>IF((AA15/4)-TRUNC(AA15/4)=0,29,28)</f>
        <v>29</v>
      </c>
      <c r="AD15" s="129">
        <f>+IF(Z15=2,AC15,AB15)</f>
        <v>31</v>
      </c>
      <c r="AE15" s="130">
        <f>SUM(AD15-D15)</f>
        <v>31</v>
      </c>
      <c r="AF15" s="131">
        <f>ROUND((AE15/AD15)*F15,0)</f>
        <v>0</v>
      </c>
      <c r="AG15" s="131">
        <f>IF($Q$6="U-96",ROUND((AF15*0.5),0),0)</f>
        <v>0</v>
      </c>
      <c r="AH15" s="131">
        <f>ROUND((AE15/AD15)*H15,0)</f>
        <v>0</v>
      </c>
      <c r="AI15" s="132" t="str">
        <f>IF($Q$6="U-96",ROUND(SUM(AF15:AH15)*1.51,0),IF($Q$6="U-06",ROUND(SUM(AF15:AH15)*0.72,0),IF($Q$6="S-10",ROUND(SUM(AF15:AH15)*0.45,0),IF($Q$6="S-04",ROUND(SUM(AF15:AH15)*1.42,0),"Fill SOP"))))</f>
        <v>Fill SOP</v>
      </c>
      <c r="AJ15" s="131">
        <f>ROUND((AE15/AD15)*SUM(J15:K15),0)</f>
        <v>0</v>
      </c>
      <c r="AK15" s="133">
        <f>ROUND((AE15/AD15)*SUM(F15:K15),0)</f>
        <v>0</v>
      </c>
      <c r="AL15" s="132" t="e">
        <f>ROUND(SUM(AF15:AH15)*0.5,0)+AI15</f>
        <v>#VALUE!</v>
      </c>
      <c r="AM15" s="132">
        <f>ROUND(SUM(AF15:AI15)*0.65,0)</f>
        <v>0</v>
      </c>
      <c r="AN15" s="131" t="e">
        <f>ROUND(((AE15-E15)/AE15)*SUM(AF15:AI15),0)+AJ15+ROUND((MAX(AL15:AM15)*(E15/AE15)),0)</f>
        <v>#VALUE!</v>
      </c>
      <c r="AO15" s="131">
        <f>AK15-ROUND(SUM(E15/AE15)*SUM(AF15:AI15)*0.5,0)</f>
        <v>0</v>
      </c>
      <c r="AP15" s="131">
        <f>SUM(AM15+AJ15)</f>
        <v>0</v>
      </c>
      <c r="AQ15" s="126"/>
      <c r="AR15" s="134">
        <f>ROUND((AE15/AD15)*F15,0)</f>
        <v>0</v>
      </c>
      <c r="AS15" s="134">
        <f>IF($Q$6="U-96",ROUND((AR15*0.5),0),0)</f>
        <v>0</v>
      </c>
      <c r="AT15" s="134">
        <f>ROUND((AE15/AD15)*H15,0)</f>
        <v>0</v>
      </c>
      <c r="AU15" s="135" t="str">
        <f>IF($Q$6="U-96",ROUND(SUM(AR15:AT15)*1.39,0),IF($Q$6="U-06",ROUND(SUM(AR15:AT15)*0.65,0),IF($Q$6="S-04",ROUND(SUM(AR15:AT15)*1.3,0),IF($Q$6="S-10",ROUND(SUM(AR15:AT15)*0.38,0),"Fill SOP"))))</f>
        <v>Fill SOP</v>
      </c>
      <c r="AV15" s="134">
        <f>ROUND((AE15/AD15)*SUM(R15:S15),0)</f>
        <v>0</v>
      </c>
      <c r="AW15" s="133">
        <f>ROUND((AE15/AD15)*SUM(N15:S15),0)</f>
        <v>0</v>
      </c>
      <c r="AX15" s="135" t="e">
        <f>ROUND(SUM(AR15:AT15)*0.5,0)+AU15</f>
        <v>#VALUE!</v>
      </c>
      <c r="AY15" s="135">
        <f>ROUND(SUM(AR15:AU15)*0.65,0)</f>
        <v>0</v>
      </c>
      <c r="AZ15" s="134" t="e">
        <f>AW15-ROUND(SUM(E15/AE15)*(AR15+AU15)/2,0)</f>
        <v>#VALUE!</v>
      </c>
      <c r="BA15" s="134" t="e">
        <f>ROUND(((AE15-E15)/AE15)*SUM(AR15:AU15),0)+AV15+ROUND((MAX(AX15:AY15)*(E15/AE15)),0)</f>
        <v>#VALUE!</v>
      </c>
      <c r="BB15" s="134">
        <f>AW15-ROUND(SUM(E15/AE15)*SUM(AR15:AU15)*0.5,0)</f>
        <v>0</v>
      </c>
      <c r="BC15" s="126"/>
      <c r="BD15" s="131">
        <f>+J15</f>
        <v>0</v>
      </c>
      <c r="BE15" s="131">
        <f>IF(AND($Q$6="S",B15="R"),$L$7,IF(SUM(N15:P15)&lt;2780,160,IF(SUM(N15:P15)&lt;4430,260,IF(SUM(N15:P15)&lt;8300,460,IF(SUM(N15:P15)&lt;10320,600,IF(SUM(N15:P15)&lt;11900,800,1000))))))</f>
        <v>160</v>
      </c>
      <c r="BF15" s="131">
        <f>IF($Q$6="U",BE15,IF(A15&lt;38777,BE15,IF(SUM(F15:H15)&lt;4590,190,IF(AND(SUM(F15:H15)&gt;4589,SUM(F15:H15)&lt;7300),280,IF(AND(SUM(F15:H15)&gt;7299,SUM(F15:H15)&lt;13700),340,380)))))</f>
        <v>190</v>
      </c>
      <c r="BG15" s="131">
        <f>IF(OR($Q$6="U",A15&lt;38777),BE15,IF(SUM(F15:H15)&lt;4590,250,IF(AND(SUM(F15:H15)&gt;4589,SUM(F15:H15)&lt;7300),400,IF(AND(SUM(F15:H15)&gt;7299,SUM(F15:H15)&lt;13700),600,IF(AND(SUM(F15:H15)&gt;13699,SUM(F15:H15)&lt;17100),750,IF(AND(SUM(F15:H15)&gt;17099,SUM(F15:H15)&lt;20200),1000,1200))))))</f>
        <v>250</v>
      </c>
      <c r="BH15" s="137">
        <f>IF($Q$6="S-04",ROUND(SUM(F15:H15)*1.42,0),IF($Q$6="S-10",ROUND(SUM(F15:H15)*0.45,0),0))</f>
        <v>0</v>
      </c>
      <c r="BI15" s="137">
        <f>IF($Q$6="U-96",ROUND(SUM(F15:H15)*1.51,0),IF($Q$6="U-06",ROUND(SUM(F15:H15)*0.72,0),0))</f>
        <v>0</v>
      </c>
      <c r="BJ15" s="160">
        <f>IF($Q$6="S-04",ROUND(SUM(F15:H15)*1.3,0),IF($Q$6="S-10",ROUND(SUM(F15:H15)*0.38,0),0))</f>
        <v>0</v>
      </c>
      <c r="BK15" s="138">
        <f>IF($Q$6="U-96",ROUND(SUM(N15:P15)*1.39,0),IF($Q$6="U-06",ROUND(SUM(N15:P15)*0.65,0),0))</f>
        <v>0</v>
      </c>
      <c r="BL15" s="132" t="e">
        <f>IF($Q$6="S-04",BM15,BO15)</f>
        <v>#VALUE!</v>
      </c>
      <c r="BM15" s="132" t="e">
        <f>IF(SUM(F15:H15)&lt;10790,AN15,AO15)</f>
        <v>#VALUE!</v>
      </c>
      <c r="BN15" s="139" t="e">
        <f>IF(AND(E15&gt;0,$Q$6="S-10"),BO15,BQ15)</f>
        <v>#VALUE!</v>
      </c>
      <c r="BO15" s="132" t="e">
        <f>IF(SUM(F15:H15)&lt;18740,AN15,AO15)</f>
        <v>#VALUE!</v>
      </c>
      <c r="BP15" s="115"/>
      <c r="BQ15" s="139" t="e">
        <f>IF($Q$6="S-04",BR15,BT15)</f>
        <v>#VALUE!</v>
      </c>
      <c r="BR15" s="132" t="e">
        <f>IF(SUM(N15:P15)&lt;10790,BA15,BB15)</f>
        <v>#VALUE!</v>
      </c>
      <c r="BS15" s="139">
        <f>IF(AND(E15&gt;0,$Q$6="S-10"),BT15,BX15)</f>
        <v>0</v>
      </c>
      <c r="BT15" s="132" t="e">
        <f>IF(SUM(N15:P15)&lt;18740,BA15,BB15)</f>
        <v>#VALUE!</v>
      </c>
      <c r="BU15" s="115"/>
      <c r="BV15" s="140">
        <f>IF($Q$6="U",120,IF(OR(C15="P",A15&gt;38776),0,IF(B15="P",IF(F15="",0,IF(F15&lt;3050,30,IF(AND(F15&gt;3049,F15&lt;4500),40,IF(AND(F15&gt;4499,F15&lt;5800),65,120)))))))</f>
        <v>0</v>
      </c>
      <c r="BW15" s="140">
        <f>IF($Q$6="U",120,IF(OR(C15="T",C15="P"),0,IF(OR(C15="N",F15=""),0,IF(F15&lt;4990,30,IF(AND(F15&gt;4989,F15&lt;7480),40,IF(AND(F15&gt;7479,F15&lt;9590),65,120))))))</f>
        <v>0</v>
      </c>
      <c r="BX15" s="126"/>
      <c r="BY15" s="126"/>
      <c r="BZ15" s="126"/>
      <c r="CA15" s="126"/>
      <c r="CB15" s="126"/>
      <c r="CC15" s="126"/>
    </row>
    <row r="16" spans="1:81" ht="12.75">
      <c r="A16" s="56">
        <v>41122</v>
      </c>
      <c r="B16" s="156">
        <f aca="true" t="shared" si="3" ref="B16:B25">IF($Q$6="","",$Q$6)</f>
      </c>
      <c r="C16" s="97"/>
      <c r="D16" s="32"/>
      <c r="E16" s="32"/>
      <c r="F16" s="32"/>
      <c r="G16" s="33">
        <f aca="true" t="shared" si="4" ref="G16:G25">IF($Q$6="U-96",ROUND((F16*0.5),0),0)</f>
        <v>0</v>
      </c>
      <c r="H16" s="32"/>
      <c r="I16" s="13">
        <f aca="true" t="shared" si="5" ref="I16:I25">IF(F16="",0,IF(OR($Q$6="S-04",$Q$6="S-10"),BH16,IF(OR($Q$6="U-96",$Q$6="U-06"),BI16,"Fill Q6")))</f>
        <v>0</v>
      </c>
      <c r="J16" s="32"/>
      <c r="K16" s="32"/>
      <c r="L16" s="47">
        <f>IF(F16=0,0,IF(OR(E16=0,E16=""),AK16,BL16))</f>
        <v>0</v>
      </c>
      <c r="M16" s="14"/>
      <c r="N16" s="13">
        <f t="shared" si="0"/>
        <v>0</v>
      </c>
      <c r="O16" s="13">
        <f t="shared" si="0"/>
        <v>0</v>
      </c>
      <c r="P16" s="13">
        <f t="shared" si="0"/>
        <v>0</v>
      </c>
      <c r="Q16" s="13">
        <f aca="true" t="shared" si="6" ref="Q16:Q25">IF(F16="",0,IF(OR($Q$6="S-04",$Q$6="S-10"),BJ16,IF(OR($Q$6="U-96",$Q$6="U-06"),BK16,"Fill Q6")))</f>
        <v>0</v>
      </c>
      <c r="R16" s="13">
        <f t="shared" si="1"/>
        <v>0</v>
      </c>
      <c r="S16" s="13">
        <f t="shared" si="1"/>
        <v>0</v>
      </c>
      <c r="T16" s="31">
        <f>IF(F16="",0,IF(OR(E16="",E16=0),AW16,BQ16))</f>
        <v>0</v>
      </c>
      <c r="U16" s="49">
        <f>SUM(L16-T16)</f>
        <v>0</v>
      </c>
      <c r="V16" s="79">
        <f t="shared" si="2"/>
      </c>
      <c r="W16" s="126"/>
      <c r="X16" s="127">
        <f>+A16</f>
        <v>41122</v>
      </c>
      <c r="Y16" s="128">
        <f>IF(X16="",0,+DAY(X16))</f>
        <v>1</v>
      </c>
      <c r="Z16" s="128">
        <f>IF(X16="",0,+MONTH(X16))</f>
        <v>8</v>
      </c>
      <c r="AA16" s="128">
        <f>IF(X16="",0,+YEAR(X16))</f>
        <v>2012</v>
      </c>
      <c r="AB16" s="129">
        <f>IF(Z16=0,1,(+IF(OR(Z16=1,Z16=3,Z16=5,Z16=7,Z16=8,Z16=10,Z16=12),31,IF(OR(Z16=4,Z16=6,Z16=9,Z16=11),30,28))))</f>
        <v>31</v>
      </c>
      <c r="AC16" s="129">
        <f>IF((AA16/4)-TRUNC(AA16/4)=0,29,28)</f>
        <v>29</v>
      </c>
      <c r="AD16" s="129">
        <f>+IF(Z16=2,AC16,AB16)</f>
        <v>31</v>
      </c>
      <c r="AE16" s="130">
        <f>SUM(AD16-D16)</f>
        <v>31</v>
      </c>
      <c r="AF16" s="131">
        <f>ROUND((AE16/AD16)*F16,0)</f>
        <v>0</v>
      </c>
      <c r="AG16" s="131">
        <f aca="true" t="shared" si="7" ref="AG16:AG25">IF($Q$6="U-96",ROUND((AF16*0.5),0),0)</f>
        <v>0</v>
      </c>
      <c r="AH16" s="131">
        <f>ROUND((AE16/AD16)*H16,0)</f>
        <v>0</v>
      </c>
      <c r="AI16" s="132" t="str">
        <f aca="true" t="shared" si="8" ref="AI16:AI25">IF($Q$6="U-96",ROUND(SUM(AF16:AH16)*1.51,0),IF($Q$6="U-06",ROUND(SUM(AF16:AH16)*0.72,0),IF($Q$6="S-10",ROUND(SUM(AF16:AH16)*0.45,0),IF($Q$6="S-04",ROUND(SUM(AF16:AH16)*1.42,0),"Fill SOP"))))</f>
        <v>Fill SOP</v>
      </c>
      <c r="AJ16" s="131">
        <f>ROUND((AE16/AD16)*SUM(J16:K16),0)</f>
        <v>0</v>
      </c>
      <c r="AK16" s="133">
        <f>ROUND((AE16/AD16)*SUM(F16:K16),0)</f>
        <v>0</v>
      </c>
      <c r="AL16" s="132" t="e">
        <f>ROUND(SUM(AF16:AH16)*0.5,0)+AI16</f>
        <v>#VALUE!</v>
      </c>
      <c r="AM16" s="132">
        <f>ROUND(SUM(AF16:AI16)*0.65,0)</f>
        <v>0</v>
      </c>
      <c r="AN16" s="131" t="e">
        <f>ROUND(((AE16-E16)/AE16)*SUM(AF16:AI16),0)+AJ16+ROUND((MAX(AL16:AM16)*(E16/AE16)),0)</f>
        <v>#VALUE!</v>
      </c>
      <c r="AO16" s="131">
        <f>AK16-ROUND(SUM(E16/AE16)*SUM(AF16:AI16)*0.5,0)</f>
        <v>0</v>
      </c>
      <c r="AP16" s="131">
        <f>SUM(AM16+AJ16)</f>
        <v>0</v>
      </c>
      <c r="AQ16" s="126"/>
      <c r="AR16" s="134">
        <f>ROUND((AE16/AD16)*F16,0)</f>
        <v>0</v>
      </c>
      <c r="AS16" s="134">
        <f>IF($Q$6="U-96",ROUND((AR16*0.5),0),0)</f>
        <v>0</v>
      </c>
      <c r="AT16" s="134">
        <f>ROUND((AE16/AD16)*H16,0)</f>
        <v>0</v>
      </c>
      <c r="AU16" s="135" t="str">
        <f>IF($Q$6="U-96",ROUND(SUM(AR16:AT16)*1.27,0),IF($Q$6="U-06",ROUND(SUM(AR16:AT16)*0.58,0),IF($Q$6="S-04",ROUND(SUM(AR16:AT16)*1.18,0),IF($Q$6="S-10",ROUND(SUM(AR16:AT16)*0.31,0),"Fill SOP"))))</f>
        <v>Fill SOP</v>
      </c>
      <c r="AV16" s="134">
        <f>ROUND((AE16/AD16)*SUM(R16:S16),0)</f>
        <v>0</v>
      </c>
      <c r="AW16" s="133">
        <f>ROUND((AE16/AD16)*SUM(N16:S16),0)</f>
        <v>0</v>
      </c>
      <c r="AX16" s="135" t="e">
        <f>ROUND(SUM(AR16:AT16)*0.5,0)+AU16</f>
        <v>#VALUE!</v>
      </c>
      <c r="AY16" s="135">
        <f>ROUND(SUM(AR16:AU16)*0.65,0)</f>
        <v>0</v>
      </c>
      <c r="AZ16" s="134" t="e">
        <f>AW16-ROUND(SUM(E16/AE16)*(AR16+AU16)/2,0)</f>
        <v>#VALUE!</v>
      </c>
      <c r="BA16" s="134" t="e">
        <f>ROUND(((AE16-E16)/AE16)*SUM(AR16:AU16),0)+AV16+ROUND((MAX(AX16:AY16)*(E16/AE16)),0)</f>
        <v>#VALUE!</v>
      </c>
      <c r="BB16" s="136">
        <f>AW16-ROUND(SUM(E16/AE16)*SUM(AR16:AU16)*0.5,0)</f>
        <v>0</v>
      </c>
      <c r="BC16" s="126"/>
      <c r="BD16" s="131">
        <f>+J16</f>
        <v>0</v>
      </c>
      <c r="BE16" s="131">
        <f>IF(AND($Q$6="S",B16="R"),$L$7,IF(SUM(N16:P16)&lt;2780,160,IF(SUM(N16:P16)&lt;4430,260,IF(SUM(N16:P16)&lt;8300,460,IF(SUM(N16:P16)&lt;10320,600,IF(SUM(N16:P16)&lt;11900,800,1000))))))</f>
        <v>160</v>
      </c>
      <c r="BF16" s="131">
        <f>IF($Q$6="U",BE16,IF(A16&lt;38777,BE16,IF(SUM(F16:H16)&lt;4590,190,IF(AND(SUM(F16:H16)&gt;4589,SUM(F16:H16)&lt;7300),280,IF(AND(SUM(F16:H16)&gt;7299,SUM(F16:H16)&lt;13700),340,380)))))</f>
        <v>190</v>
      </c>
      <c r="BG16" s="131">
        <f>IF(OR($Q$6="U",A16&lt;38777),BE16,IF(SUM(F16:H16)&lt;4590,250,IF(AND(SUM(F16:H16)&gt;4589,SUM(F16:H16)&lt;7300),400,IF(AND(SUM(F16:H16)&gt;7299,SUM(F16:H16)&lt;13700),600,IF(AND(SUM(F16:H16)&gt;13699,SUM(F16:H16)&lt;17100),750,IF(AND(SUM(F16:H16)&gt;17099,SUM(F16:H16)&lt;20200),1000,1200))))))</f>
        <v>250</v>
      </c>
      <c r="BH16" s="137">
        <f aca="true" t="shared" si="9" ref="BH16:BH25">IF($Q$6="S-04",ROUND(SUM(F16:H16)*1.42,0),IF($Q$6="S-10",ROUND(SUM(F16:H16)*0.45,0),0))</f>
        <v>0</v>
      </c>
      <c r="BI16" s="137">
        <f aca="true" t="shared" si="10" ref="BI16:BI25">IF($Q$6="U-96",ROUND(SUM(F16:H16)*1.51,0),IF($Q$6="U-06",ROUND(SUM(F16:H16)*0.72,0),0))</f>
        <v>0</v>
      </c>
      <c r="BJ16" s="160">
        <f aca="true" t="shared" si="11" ref="BJ16:BJ25">IF($Q$6="S-04",ROUND(SUM(F16:H16)*1.3,0),IF($Q$6="S-10",ROUND(SUM(F16:H16)*0.38,0),0))</f>
        <v>0</v>
      </c>
      <c r="BK16" s="138">
        <f aca="true" t="shared" si="12" ref="BK16:BK25">IF($Q$6="U-96",ROUND(SUM(N16:P16)*1.39,0),IF($Q$6="U-06",ROUND(SUM(N16:P16)*0.65,0),0))</f>
        <v>0</v>
      </c>
      <c r="BL16" s="132" t="e">
        <f>IF($Q$6="S-04",BM16,BO16)</f>
        <v>#VALUE!</v>
      </c>
      <c r="BM16" s="132" t="e">
        <f>IF(SUM(F16:H16)&lt;10790,AN16,AO16)</f>
        <v>#VALUE!</v>
      </c>
      <c r="BN16" s="139" t="e">
        <f>IF(AND(E16&gt;0,$Q$6="S-10"),BO16,BQ16)</f>
        <v>#VALUE!</v>
      </c>
      <c r="BO16" s="132" t="e">
        <f>IF(SUM(F16:H16)&lt;18740,AN16,AO16)</f>
        <v>#VALUE!</v>
      </c>
      <c r="BP16" s="115"/>
      <c r="BQ16" s="139" t="e">
        <f>IF($Q$6="S-04",BR16,BT16)</f>
        <v>#VALUE!</v>
      </c>
      <c r="BR16" s="132" t="e">
        <f>IF(SUM(N16:P16)&lt;10790,BA16,BB16)</f>
        <v>#VALUE!</v>
      </c>
      <c r="BS16" s="139">
        <f>IF(AND(E16&gt;0,$Q$6="S-10"),BT16,BX16)</f>
        <v>0</v>
      </c>
      <c r="BT16" s="132" t="e">
        <f>IF(SUM(N16:P16)&lt;18740,BA16,BB16)</f>
        <v>#VALUE!</v>
      </c>
      <c r="BU16" s="115"/>
      <c r="BV16" s="140">
        <f>IF($Q$6="U",120,IF(OR(C16="P",A16&gt;38776),0,IF(B16="P",IF(F16="",0,IF(F16&lt;3050,30,IF(AND(F16&gt;3049,F16&lt;4500),40,IF(AND(F16&gt;4499,F16&lt;5800),65,120)))))))</f>
        <v>0</v>
      </c>
      <c r="BW16" s="140">
        <f>IF($Q$6="U",120,IF(OR(C16="T",C16="P"),0,IF(OR(C16="N",F16=""),0,IF(F16&lt;4990,30,IF(AND(F16&gt;4989,F16&lt;7480),40,IF(AND(F16&gt;7479,F16&lt;9590),65,120))))))</f>
        <v>0</v>
      </c>
      <c r="BX16" s="126"/>
      <c r="BY16" s="126"/>
      <c r="BZ16" s="126"/>
      <c r="CA16" s="126"/>
      <c r="CB16" s="126"/>
      <c r="CC16" s="126"/>
    </row>
    <row r="17" spans="1:81" ht="12.75">
      <c r="A17" s="56">
        <v>41153</v>
      </c>
      <c r="B17" s="156">
        <f t="shared" si="3"/>
      </c>
      <c r="C17" s="97"/>
      <c r="D17" s="32"/>
      <c r="E17" s="32"/>
      <c r="F17" s="32"/>
      <c r="G17" s="33">
        <f t="shared" si="4"/>
        <v>0</v>
      </c>
      <c r="H17" s="32"/>
      <c r="I17" s="13">
        <f t="shared" si="5"/>
        <v>0</v>
      </c>
      <c r="J17" s="32"/>
      <c r="K17" s="32"/>
      <c r="L17" s="47">
        <f>IF(F17=0,0,IF(OR(E17=0,E17=""),AK17,BL17))</f>
        <v>0</v>
      </c>
      <c r="M17" s="14"/>
      <c r="N17" s="13">
        <f t="shared" si="0"/>
        <v>0</v>
      </c>
      <c r="O17" s="13">
        <f t="shared" si="0"/>
        <v>0</v>
      </c>
      <c r="P17" s="13">
        <f t="shared" si="0"/>
        <v>0</v>
      </c>
      <c r="Q17" s="13">
        <f t="shared" si="6"/>
        <v>0</v>
      </c>
      <c r="R17" s="13">
        <f t="shared" si="1"/>
        <v>0</v>
      </c>
      <c r="S17" s="13">
        <f t="shared" si="1"/>
        <v>0</v>
      </c>
      <c r="T17" s="31">
        <f>IF(F17="",0,IF(OR(E17="",E17=0),AW17,BQ17))</f>
        <v>0</v>
      </c>
      <c r="U17" s="49">
        <f>SUM(L17-T17)</f>
        <v>0</v>
      </c>
      <c r="V17" s="79">
        <f t="shared" si="2"/>
      </c>
      <c r="W17" s="126"/>
      <c r="X17" s="127">
        <f>+A17</f>
        <v>41153</v>
      </c>
      <c r="Y17" s="128">
        <f>IF(X17="",0,+DAY(X17))</f>
        <v>1</v>
      </c>
      <c r="Z17" s="128">
        <f>IF(X17="",0,+MONTH(X17))</f>
        <v>9</v>
      </c>
      <c r="AA17" s="128">
        <f>IF(X17="",0,+YEAR(X17))</f>
        <v>2012</v>
      </c>
      <c r="AB17" s="129">
        <f>IF(Z17=0,1,(+IF(OR(Z17=1,Z17=3,Z17=5,Z17=7,Z17=8,Z17=10,Z17=12),31,IF(OR(Z17=4,Z17=6,Z17=9,Z17=11),30,28))))</f>
        <v>30</v>
      </c>
      <c r="AC17" s="129">
        <f>IF((AA17/4)-TRUNC(AA17/4)=0,29,28)</f>
        <v>29</v>
      </c>
      <c r="AD17" s="129">
        <f>+IF(Z17=2,AC17,AB17)</f>
        <v>30</v>
      </c>
      <c r="AE17" s="130">
        <f>SUM(AD17-D17)</f>
        <v>30</v>
      </c>
      <c r="AF17" s="131">
        <f>ROUND((AE17/AD17)*F17,0)</f>
        <v>0</v>
      </c>
      <c r="AG17" s="131">
        <f t="shared" si="7"/>
        <v>0</v>
      </c>
      <c r="AH17" s="131">
        <f>ROUND((AE17/AD17)*H17,0)</f>
        <v>0</v>
      </c>
      <c r="AI17" s="132" t="str">
        <f t="shared" si="8"/>
        <v>Fill SOP</v>
      </c>
      <c r="AJ17" s="131">
        <f>ROUND((AE17/AD17)*SUM(J17:K17),0)</f>
        <v>0</v>
      </c>
      <c r="AK17" s="133">
        <f>ROUND((AE17/AD17)*SUM(F17:K17),0)</f>
        <v>0</v>
      </c>
      <c r="AL17" s="132" t="e">
        <f>ROUND(SUM(AF17:AH17)*0.5,0)+AI17</f>
        <v>#VALUE!</v>
      </c>
      <c r="AM17" s="132">
        <f>ROUND(SUM(AF17:AI17)*0.65,0)</f>
        <v>0</v>
      </c>
      <c r="AN17" s="131" t="e">
        <f>ROUND(((AE17-E17)/AE17)*SUM(AF17:AI17),0)+AJ17+ROUND((MAX(AL17:AM17)*(E17/AE17)),0)</f>
        <v>#VALUE!</v>
      </c>
      <c r="AO17" s="131">
        <f>AK17-ROUND(SUM(E17/AE17)*SUM(AF17:AI17)*0.5,0)</f>
        <v>0</v>
      </c>
      <c r="AP17" s="131">
        <f>SUM(AM17+AJ17)</f>
        <v>0</v>
      </c>
      <c r="AQ17" s="126"/>
      <c r="AR17" s="134">
        <f>ROUND((AE17/AD17)*F17,0)</f>
        <v>0</v>
      </c>
      <c r="AS17" s="134">
        <f>IF($Q$6="U-96",ROUND((AR17*0.5),0),0)</f>
        <v>0</v>
      </c>
      <c r="AT17" s="134">
        <f>ROUND((AE17/AD17)*H17,0)</f>
        <v>0</v>
      </c>
      <c r="AU17" s="135" t="str">
        <f>IF($Q$6="U-96",ROUND(SUM(AR17:AT17)*1.27,0),IF($Q$6="U-06",ROUND(SUM(AR17:AT17)*0.58,0),IF($Q$6="S-04",ROUND(SUM(AR17:AT17)*1.18,0),IF($Q$6="S-10",ROUND(SUM(AR17:AT17)*0.31,0),"Fill SOP"))))</f>
        <v>Fill SOP</v>
      </c>
      <c r="AV17" s="134">
        <f>ROUND((AE17/AD17)*SUM(R17:S17),0)</f>
        <v>0</v>
      </c>
      <c r="AW17" s="133">
        <f>ROUND((AE17/AD17)*SUM(N17:S17),0)</f>
        <v>0</v>
      </c>
      <c r="AX17" s="135" t="e">
        <f>ROUND(SUM(AR17:AT17)*0.5,0)+AU17</f>
        <v>#VALUE!</v>
      </c>
      <c r="AY17" s="135">
        <f>ROUND(SUM(AR17:AU17)*0.65,0)</f>
        <v>0</v>
      </c>
      <c r="AZ17" s="134" t="e">
        <f>AW17-ROUND(SUM(E17/AE17)*(AR17+AU17)/2,0)</f>
        <v>#VALUE!</v>
      </c>
      <c r="BA17" s="134" t="e">
        <f>ROUND(((AE17-E17)/AE17)*SUM(AR17:AU17),0)+AV17+ROUND((MAX(AX17:AY17)*(E17/AE17)),0)</f>
        <v>#VALUE!</v>
      </c>
      <c r="BB17" s="136">
        <f>AW17-ROUND(SUM(E17/AE17)*SUM(AR17:AU17)*0.5,0)</f>
        <v>0</v>
      </c>
      <c r="BC17" s="126"/>
      <c r="BD17" s="131">
        <f>+J17</f>
        <v>0</v>
      </c>
      <c r="BE17" s="131">
        <f>IF(AND($Q$6="S",B17="R"),$L$7,IF(SUM(N17:P17)&lt;2780,160,IF(SUM(N17:P17)&lt;4430,260,IF(SUM(N17:P17)&lt;8300,460,IF(SUM(N17:P17)&lt;10320,600,IF(SUM(N17:P17)&lt;11900,800,1000))))))</f>
        <v>160</v>
      </c>
      <c r="BF17" s="131">
        <f>IF($Q$6="U",BE17,IF(A17&lt;38777,BE17,IF(SUM(F17:H17)&lt;4590,190,IF(AND(SUM(F17:H17)&gt;4589,SUM(F17:H17)&lt;7300),280,IF(AND(SUM(F17:H17)&gt;7299,SUM(F17:H17)&lt;13700),340,380)))))</f>
        <v>190</v>
      </c>
      <c r="BG17" s="131">
        <f>IF(OR($Q$6="U",A17&lt;38777),BE17,IF(SUM(F17:H17)&lt;4590,250,IF(AND(SUM(F17:H17)&gt;4589,SUM(F17:H17)&lt;7300),400,IF(AND(SUM(F17:H17)&gt;7299,SUM(F17:H17)&lt;13700),600,IF(AND(SUM(F17:H17)&gt;13699,SUM(F17:H17)&lt;17100),750,IF(AND(SUM(F17:H17)&gt;17099,SUM(F17:H17)&lt;20200),1000,1200))))))</f>
        <v>250</v>
      </c>
      <c r="BH17" s="137">
        <f t="shared" si="9"/>
        <v>0</v>
      </c>
      <c r="BI17" s="137">
        <f t="shared" si="10"/>
        <v>0</v>
      </c>
      <c r="BJ17" s="160">
        <f t="shared" si="11"/>
        <v>0</v>
      </c>
      <c r="BK17" s="138">
        <f t="shared" si="12"/>
        <v>0</v>
      </c>
      <c r="BL17" s="132" t="e">
        <f>IF($Q$6="S-04",BM17,BO17)</f>
        <v>#VALUE!</v>
      </c>
      <c r="BM17" s="132" t="e">
        <f>IF(SUM(F17:H17)&lt;10790,AN17,AO17)</f>
        <v>#VALUE!</v>
      </c>
      <c r="BN17" s="139" t="e">
        <f>IF(AND(E17&gt;0,$Q$6="S-10"),BO17,BQ17)</f>
        <v>#VALUE!</v>
      </c>
      <c r="BO17" s="132" t="e">
        <f>IF(SUM(F17:H17)&lt;18740,AN17,AO17)</f>
        <v>#VALUE!</v>
      </c>
      <c r="BP17" s="115"/>
      <c r="BQ17" s="139" t="e">
        <f>IF($Q$6="S-04",BR17,BT17)</f>
        <v>#VALUE!</v>
      </c>
      <c r="BR17" s="132" t="e">
        <f>IF(SUM(N17:P17)&lt;10790,BA17,BB17)</f>
        <v>#VALUE!</v>
      </c>
      <c r="BS17" s="139">
        <f>IF(AND(E17&gt;0,$Q$6="S-10"),BT17,BX17)</f>
        <v>0</v>
      </c>
      <c r="BT17" s="132" t="e">
        <f>IF(SUM(N17:P17)&lt;18740,BA17,BB17)</f>
        <v>#VALUE!</v>
      </c>
      <c r="BU17" s="115"/>
      <c r="BV17" s="140">
        <f>IF($Q$6="U",120,IF(OR(C17="P",A17&gt;38776),0,IF(B17="P",IF(F17="",0,IF(F17&lt;3050,30,IF(AND(F17&gt;3049,F17&lt;4500),40,IF(AND(F17&gt;4499,F17&lt;5800),65,120)))))))</f>
        <v>0</v>
      </c>
      <c r="BW17" s="140">
        <f>IF($Q$6="U",120,IF(OR(C17="T",C17="P"),0,IF(OR(C17="N",F17=""),0,IF(F17&lt;4990,30,IF(AND(F17&gt;4989,F17&lt;7480),40,IF(AND(F17&gt;7479,F17&lt;9590),65,120))))))</f>
        <v>0</v>
      </c>
      <c r="BX17" s="126"/>
      <c r="BY17" s="126"/>
      <c r="BZ17" s="126"/>
      <c r="CA17" s="126"/>
      <c r="CB17" s="126"/>
      <c r="CC17" s="126"/>
    </row>
    <row r="18" spans="1:81" ht="12.75">
      <c r="A18" s="56">
        <v>41183</v>
      </c>
      <c r="B18" s="156">
        <f t="shared" si="3"/>
      </c>
      <c r="C18" s="97"/>
      <c r="D18" s="32"/>
      <c r="E18" s="32"/>
      <c r="F18" s="32"/>
      <c r="G18" s="33">
        <f t="shared" si="4"/>
        <v>0</v>
      </c>
      <c r="H18" s="32"/>
      <c r="I18" s="13">
        <f t="shared" si="5"/>
        <v>0</v>
      </c>
      <c r="J18" s="32"/>
      <c r="K18" s="32"/>
      <c r="L18" s="47">
        <f>IF(F18=0,0,IF(OR(E18=0,E18=""),AK18,BL18))</f>
        <v>0</v>
      </c>
      <c r="M18" s="14"/>
      <c r="N18" s="13">
        <f t="shared" si="0"/>
        <v>0</v>
      </c>
      <c r="O18" s="13">
        <f t="shared" si="0"/>
        <v>0</v>
      </c>
      <c r="P18" s="13">
        <f t="shared" si="0"/>
        <v>0</v>
      </c>
      <c r="Q18" s="13">
        <f t="shared" si="6"/>
        <v>0</v>
      </c>
      <c r="R18" s="13">
        <f t="shared" si="1"/>
        <v>0</v>
      </c>
      <c r="S18" s="13">
        <f t="shared" si="1"/>
        <v>0</v>
      </c>
      <c r="T18" s="31">
        <f>IF(F18="",0,IF(OR(E18="",E18=0),AW18,BQ18))</f>
        <v>0</v>
      </c>
      <c r="U18" s="49">
        <f>SUM(L18-T18)</f>
        <v>0</v>
      </c>
      <c r="V18" s="79">
        <f t="shared" si="2"/>
      </c>
      <c r="W18" s="126"/>
      <c r="X18" s="127">
        <f>+A18</f>
        <v>41183</v>
      </c>
      <c r="Y18" s="128">
        <f>IF(X18="",0,+DAY(X18))</f>
        <v>1</v>
      </c>
      <c r="Z18" s="128">
        <f>IF(X18="",0,+MONTH(X18))</f>
        <v>10</v>
      </c>
      <c r="AA18" s="128">
        <f>IF(X18="",0,+YEAR(X18))</f>
        <v>2012</v>
      </c>
      <c r="AB18" s="129">
        <f>IF(Z18=0,1,(+IF(OR(Z18=1,Z18=3,Z18=5,Z18=7,Z18=8,Z18=10,Z18=12),31,IF(OR(Z18=4,Z18=6,Z18=9,Z18=11),30,28))))</f>
        <v>31</v>
      </c>
      <c r="AC18" s="129">
        <f>IF((AA18/4)-TRUNC(AA18/4)=0,29,28)</f>
        <v>29</v>
      </c>
      <c r="AD18" s="129">
        <f>+IF(Z18=2,AC18,AB18)</f>
        <v>31</v>
      </c>
      <c r="AE18" s="130">
        <f>SUM(AD18-D18)</f>
        <v>31</v>
      </c>
      <c r="AF18" s="131">
        <f>ROUND((AE18/AD18)*F18,0)</f>
        <v>0</v>
      </c>
      <c r="AG18" s="131">
        <f t="shared" si="7"/>
        <v>0</v>
      </c>
      <c r="AH18" s="131">
        <f>ROUND((AE18/AD18)*H18,0)</f>
        <v>0</v>
      </c>
      <c r="AI18" s="132" t="str">
        <f t="shared" si="8"/>
        <v>Fill SOP</v>
      </c>
      <c r="AJ18" s="131">
        <f>ROUND((AE18/AD18)*SUM(J18:K18),0)</f>
        <v>0</v>
      </c>
      <c r="AK18" s="133">
        <f>ROUND((AE18/AD18)*SUM(F18:K18),0)</f>
        <v>0</v>
      </c>
      <c r="AL18" s="132" t="e">
        <f>ROUND(SUM(AF18:AH18)*0.5,0)+AI18</f>
        <v>#VALUE!</v>
      </c>
      <c r="AM18" s="132">
        <f>ROUND(SUM(AF18:AI18)*0.65,0)</f>
        <v>0</v>
      </c>
      <c r="AN18" s="131" t="e">
        <f>ROUND(((AE18-E18)/AE18)*SUM(AF18:AI18),0)+AJ18+ROUND((MAX(AL18:AM18)*(E18/AE18)),0)</f>
        <v>#VALUE!</v>
      </c>
      <c r="AO18" s="131">
        <f>AK18-ROUND(SUM(E18/AE18)*SUM(AF18:AI18)*0.5,0)</f>
        <v>0</v>
      </c>
      <c r="AP18" s="131">
        <f>SUM(AM18+AJ18)</f>
        <v>0</v>
      </c>
      <c r="AQ18" s="126"/>
      <c r="AR18" s="134">
        <f>ROUND((AE18/AD18)*F18,0)</f>
        <v>0</v>
      </c>
      <c r="AS18" s="134">
        <f>IF($Q$6="U-96",ROUND((AR18*0.5),0),0)</f>
        <v>0</v>
      </c>
      <c r="AT18" s="134">
        <f>ROUND((AE18/AD18)*H18,0)</f>
        <v>0</v>
      </c>
      <c r="AU18" s="135" t="str">
        <f>IF($Q$6="U-96",ROUND(SUM(AR18:AT18)*1.27,0),IF($Q$6="U-06",ROUND(SUM(AR18:AT18)*0.58,0),IF($Q$6="S-04",ROUND(SUM(AR18:AT18)*1.18,0),IF($Q$6="S-10",ROUND(SUM(AR18:AT18)*0.31,0),"Fill SOP"))))</f>
        <v>Fill SOP</v>
      </c>
      <c r="AV18" s="134">
        <f>ROUND((AE18/AD18)*SUM(R18:S18),0)</f>
        <v>0</v>
      </c>
      <c r="AW18" s="133">
        <f>ROUND((AE18/AD18)*SUM(N18:S18),0)</f>
        <v>0</v>
      </c>
      <c r="AX18" s="135" t="e">
        <f>ROUND(SUM(AR18:AT18)*0.5,0)+AU18</f>
        <v>#VALUE!</v>
      </c>
      <c r="AY18" s="135">
        <f>ROUND(SUM(AR18:AU18)*0.65,0)</f>
        <v>0</v>
      </c>
      <c r="AZ18" s="134" t="e">
        <f>AW18-ROUND(SUM(E18/AE18)*(AR18+AU18)/2,0)</f>
        <v>#VALUE!</v>
      </c>
      <c r="BA18" s="134" t="e">
        <f>ROUND(((AE18-E18)/AE18)*SUM(AR18:AU18),0)+AV18+ROUND((MAX(AX18:AY18)*(E18/AE18)),0)</f>
        <v>#VALUE!</v>
      </c>
      <c r="BB18" s="136">
        <f>AW18-ROUND(SUM(E18/AE18)*SUM(AR18:AU18)*0.5,0)</f>
        <v>0</v>
      </c>
      <c r="BC18" s="126"/>
      <c r="BD18" s="131">
        <f>+J18</f>
        <v>0</v>
      </c>
      <c r="BE18" s="131">
        <f>IF(AND($Q$6="S",B18="R"),$L$7,IF(SUM(N18:P18)&lt;2780,160,IF(SUM(N18:P18)&lt;4430,260,IF(SUM(N18:P18)&lt;8300,460,IF(SUM(N18:P18)&lt;10320,600,IF(SUM(N18:P18)&lt;11900,800,1000))))))</f>
        <v>160</v>
      </c>
      <c r="BF18" s="131">
        <f>IF($Q$6="U",BE18,IF(A18&lt;38777,BE18,IF(SUM(F18:H18)&lt;4590,190,IF(AND(SUM(F18:H18)&gt;4589,SUM(F18:H18)&lt;7300),280,IF(AND(SUM(F18:H18)&gt;7299,SUM(F18:H18)&lt;13700),340,380)))))</f>
        <v>190</v>
      </c>
      <c r="BG18" s="131">
        <f>IF(OR($Q$6="U",A18&lt;38777),BE18,IF(SUM(F18:H18)&lt;4590,250,IF(AND(SUM(F18:H18)&gt;4589,SUM(F18:H18)&lt;7300),400,IF(AND(SUM(F18:H18)&gt;7299,SUM(F18:H18)&lt;13700),600,IF(AND(SUM(F18:H18)&gt;13699,SUM(F18:H18)&lt;17100),750,IF(AND(SUM(F18:H18)&gt;17099,SUM(F18:H18)&lt;20200),1000,1200))))))</f>
        <v>250</v>
      </c>
      <c r="BH18" s="137">
        <f t="shared" si="9"/>
        <v>0</v>
      </c>
      <c r="BI18" s="137">
        <f t="shared" si="10"/>
        <v>0</v>
      </c>
      <c r="BJ18" s="160">
        <f t="shared" si="11"/>
        <v>0</v>
      </c>
      <c r="BK18" s="138">
        <f t="shared" si="12"/>
        <v>0</v>
      </c>
      <c r="BL18" s="132" t="e">
        <f>IF($Q$6="S-04",BM18,BO18)</f>
        <v>#VALUE!</v>
      </c>
      <c r="BM18" s="132" t="e">
        <f>IF(SUM(F18:H18)&lt;10790,AN18,AO18)</f>
        <v>#VALUE!</v>
      </c>
      <c r="BN18" s="139" t="e">
        <f>IF(AND(E18&gt;0,$Q$6="S-10"),BO18,BQ18)</f>
        <v>#VALUE!</v>
      </c>
      <c r="BO18" s="132" t="e">
        <f>IF(SUM(F18:H18)&lt;18740,AN18,AO18)</f>
        <v>#VALUE!</v>
      </c>
      <c r="BP18" s="115"/>
      <c r="BQ18" s="139" t="e">
        <f>IF($Q$6="S-04",BR18,BT18)</f>
        <v>#VALUE!</v>
      </c>
      <c r="BR18" s="132" t="e">
        <f>IF(SUM(N18:P18)&lt;10790,BA18,BB18)</f>
        <v>#VALUE!</v>
      </c>
      <c r="BS18" s="139">
        <f>IF(AND(E18&gt;0,$Q$6="S-10"),BT18,BX18)</f>
        <v>0</v>
      </c>
      <c r="BT18" s="132" t="e">
        <f>IF(SUM(N18:P18)&lt;18740,BA18,BB18)</f>
        <v>#VALUE!</v>
      </c>
      <c r="BU18" s="115"/>
      <c r="BV18" s="140">
        <f>IF($Q$6="U",120,IF(OR(C18="P",A18&gt;38776),0,IF(B18="P",IF(F18="",0,IF(F18&lt;3050,30,IF(AND(F18&gt;3049,F18&lt;4500),40,IF(AND(F18&gt;4499,F18&lt;5800),65,120)))))))</f>
        <v>0</v>
      </c>
      <c r="BW18" s="140">
        <f>IF($Q$6="U",120,IF(OR(C18="T",C18="P"),0,IF(OR(C18="N",F18=""),0,IF(F18&lt;4990,30,IF(AND(F18&gt;4989,F18&lt;7480),40,IF(AND(F18&gt;7479,F18&lt;9590),65,120))))))</f>
        <v>0</v>
      </c>
      <c r="BX18" s="126"/>
      <c r="BY18" s="126"/>
      <c r="BZ18" s="126"/>
      <c r="CA18" s="126"/>
      <c r="CB18" s="126"/>
      <c r="CC18" s="126"/>
    </row>
    <row r="19" spans="1:81" ht="12.75">
      <c r="A19" s="161">
        <v>41214</v>
      </c>
      <c r="B19" s="156">
        <f t="shared" si="3"/>
      </c>
      <c r="C19" s="97"/>
      <c r="D19" s="32"/>
      <c r="E19" s="32"/>
      <c r="F19" s="32"/>
      <c r="G19" s="162"/>
      <c r="H19" s="32"/>
      <c r="I19" s="13">
        <f t="shared" si="5"/>
        <v>0</v>
      </c>
      <c r="J19" s="32"/>
      <c r="K19" s="32"/>
      <c r="L19" s="47">
        <f>IF(F19=0,0,IF(OR(E19=0,E19=""),AK19,BL19))</f>
        <v>0</v>
      </c>
      <c r="M19" s="14"/>
      <c r="N19" s="13">
        <f>+F19</f>
        <v>0</v>
      </c>
      <c r="O19" s="13">
        <f>+G19</f>
        <v>0</v>
      </c>
      <c r="P19" s="13">
        <f>+H19</f>
        <v>0</v>
      </c>
      <c r="Q19" s="13">
        <f>IF(F19="",0,IF(OR($Q$6="S-04",$Q$6="S-10"),BJ19,IF(OR($Q$6="U-96",$Q$6="U-06"),BK19,"Fill Q6")))</f>
        <v>0</v>
      </c>
      <c r="R19" s="13">
        <f>+J19</f>
        <v>0</v>
      </c>
      <c r="S19" s="13">
        <f>+K19</f>
        <v>0</v>
      </c>
      <c r="T19" s="31">
        <f>IF(F19="",0,IF(OR(E19="",E19=0),AW19,BQ19))</f>
        <v>0</v>
      </c>
      <c r="U19" s="49">
        <f>SUM(L19-T19)</f>
        <v>0</v>
      </c>
      <c r="V19" s="79"/>
      <c r="W19" s="126"/>
      <c r="X19" s="127">
        <f>+A19</f>
        <v>41214</v>
      </c>
      <c r="Y19" s="128">
        <f>IF(X19="",0,+DAY(X19))</f>
        <v>1</v>
      </c>
      <c r="Z19" s="128">
        <f>IF(X19="",0,+MONTH(X19))</f>
        <v>11</v>
      </c>
      <c r="AA19" s="128">
        <f>IF(X19="",0,+YEAR(X19))</f>
        <v>2012</v>
      </c>
      <c r="AB19" s="129">
        <f>IF(Z19=0,1,(+IF(OR(Z19=1,Z19=3,Z19=5,Z19=7,Z19=8,Z19=10,Z19=12),31,IF(OR(Z19=4,Z19=6,Z19=9,Z19=11),30,28))))</f>
        <v>30</v>
      </c>
      <c r="AC19" s="129">
        <f>IF((AA19/4)-TRUNC(AA19/4)=0,29,28)</f>
        <v>29</v>
      </c>
      <c r="AD19" s="129">
        <f>+IF(Z19=2,AC19,AB19)</f>
        <v>30</v>
      </c>
      <c r="AE19" s="130">
        <f>SUM(AD19-D19)</f>
        <v>30</v>
      </c>
      <c r="AF19" s="131">
        <f>ROUND((AE19/AD19)*F19,0)</f>
        <v>0</v>
      </c>
      <c r="AG19" s="131">
        <f t="shared" si="7"/>
        <v>0</v>
      </c>
      <c r="AH19" s="131">
        <f>ROUND((AE19/AD19)*H19,0)</f>
        <v>0</v>
      </c>
      <c r="AI19" s="132" t="str">
        <f t="shared" si="8"/>
        <v>Fill SOP</v>
      </c>
      <c r="AJ19" s="131">
        <f>ROUND((AE19/AD19)*SUM(J19:K19),0)</f>
        <v>0</v>
      </c>
      <c r="AK19" s="133">
        <f>ROUND((AE19/AD19)*SUM(F19:K19),0)</f>
        <v>0</v>
      </c>
      <c r="AL19" s="132" t="e">
        <f>ROUND(SUM(AF19:AH19)*0.5,0)+AI19</f>
        <v>#VALUE!</v>
      </c>
      <c r="AM19" s="132">
        <f>ROUND(SUM(AF19:AI19)*0.65,0)</f>
        <v>0</v>
      </c>
      <c r="AN19" s="131" t="e">
        <f>ROUND(((AE19-E19)/AE19)*SUM(AF19:AI19),0)+AJ19+ROUND((MAX(AL19:AM19)*(E19/AE19)),0)</f>
        <v>#VALUE!</v>
      </c>
      <c r="AO19" s="131">
        <f>AK19-ROUND(SUM(E19/AE19)*SUM(AF19:AI19)*0.5,0)</f>
        <v>0</v>
      </c>
      <c r="AP19" s="131">
        <f>SUM(AM19+AJ19)</f>
        <v>0</v>
      </c>
      <c r="AQ19" s="126"/>
      <c r="AR19" s="134">
        <f>ROUND((AE19/AD19)*F19,0)</f>
        <v>0</v>
      </c>
      <c r="AS19" s="134">
        <f>IF($Q$6="U-96",ROUND((AR19*0.5),0),0)</f>
        <v>0</v>
      </c>
      <c r="AT19" s="134">
        <f>ROUND((AE19/AD19)*H19,0)</f>
        <v>0</v>
      </c>
      <c r="AU19" s="135" t="str">
        <f>IF($Q$6="U-96",ROUND(SUM(AR19:AT19)*1.27,0),IF($Q$6="U-06",ROUND(SUM(AR19:AT19)*0.58,0),IF($Q$6="S-04",ROUND(SUM(AR19:AT19)*1.18,0),IF($Q$6="S-10",ROUND(SUM(AR19:AT19)*0.31,0),"Fill SOP"))))</f>
        <v>Fill SOP</v>
      </c>
      <c r="AV19" s="134">
        <f>ROUND((AE19/AD19)*SUM(R19:S19),0)</f>
        <v>0</v>
      </c>
      <c r="AW19" s="133">
        <f>ROUND((AE19/AD19)*SUM(N19:S19),0)</f>
        <v>0</v>
      </c>
      <c r="AX19" s="135" t="e">
        <f>ROUND(SUM(AR19:AT19)*0.5,0)+AU19</f>
        <v>#VALUE!</v>
      </c>
      <c r="AY19" s="135">
        <f>ROUND(SUM(AR19:AU19)*0.65,0)</f>
        <v>0</v>
      </c>
      <c r="AZ19" s="134" t="e">
        <f>AW19-ROUND(SUM(E19/AE19)*(AR19+AU19)/2,0)</f>
        <v>#VALUE!</v>
      </c>
      <c r="BA19" s="134" t="e">
        <f>ROUND(((AE19-E19)/AE19)*SUM(AR19:AU19),0)+AV19+ROUND((MAX(AX19:AY19)*(E19/AE19)),0)</f>
        <v>#VALUE!</v>
      </c>
      <c r="BB19" s="136">
        <f>AW19-ROUND(SUM(E19/AE19)*SUM(AR19:AU19)*0.5,0)</f>
        <v>0</v>
      </c>
      <c r="BC19" s="126"/>
      <c r="BD19" s="131">
        <f>+J19</f>
        <v>0</v>
      </c>
      <c r="BE19" s="131">
        <f>IF(AND($Q$6="S",B19="R"),$L$7,IF(SUM(N19:P19)&lt;2780,160,IF(SUM(N19:P19)&lt;4430,260,IF(SUM(N19:P19)&lt;8300,460,IF(SUM(N19:P19)&lt;10320,600,IF(SUM(N19:P19)&lt;11900,800,1000))))))</f>
        <v>160</v>
      </c>
      <c r="BF19" s="131">
        <f>IF($Q$6="U",BE19,IF(A19&lt;38777,BE19,IF(SUM(F19:H19)&lt;4590,190,IF(AND(SUM(F19:H19)&gt;4589,SUM(F19:H19)&lt;7300),280,IF(AND(SUM(F19:H19)&gt;7299,SUM(F19:H19)&lt;13700),340,380)))))</f>
        <v>190</v>
      </c>
      <c r="BG19" s="131">
        <f>IF(OR($Q$6="U",A19&lt;38777),BE19,IF(SUM(F19:H19)&lt;4590,250,IF(AND(SUM(F19:H19)&gt;4589,SUM(F19:H19)&lt;7300),400,IF(AND(SUM(F19:H19)&gt;7299,SUM(F19:H19)&lt;13700),600,IF(AND(SUM(F19:H19)&gt;13699,SUM(F19:H19)&lt;17100),750,IF(AND(SUM(F19:H19)&gt;17099,SUM(F19:H19)&lt;20200),1000,1200))))))</f>
        <v>250</v>
      </c>
      <c r="BH19" s="137">
        <f t="shared" si="9"/>
        <v>0</v>
      </c>
      <c r="BI19" s="137">
        <f t="shared" si="10"/>
        <v>0</v>
      </c>
      <c r="BJ19" s="160">
        <f t="shared" si="11"/>
        <v>0</v>
      </c>
      <c r="BK19" s="138">
        <f t="shared" si="12"/>
        <v>0</v>
      </c>
      <c r="BL19" s="132" t="e">
        <f>IF($Q$6="S-04",BM19,BO19)</f>
        <v>#VALUE!</v>
      </c>
      <c r="BM19" s="132" t="e">
        <f>IF(SUM(F19:H19)&lt;10790,AN19,AO19)</f>
        <v>#VALUE!</v>
      </c>
      <c r="BN19" s="139" t="e">
        <f>IF(AND(E19&gt;0,$Q$6="S-10"),BO19,BQ19)</f>
        <v>#VALUE!</v>
      </c>
      <c r="BO19" s="132" t="e">
        <f>IF(SUM(F19:H19)&lt;18740,AN19,AO19)</f>
        <v>#VALUE!</v>
      </c>
      <c r="BP19" s="115"/>
      <c r="BQ19" s="139" t="e">
        <f>IF($Q$6="S-04",BR19,BT19)</f>
        <v>#VALUE!</v>
      </c>
      <c r="BR19" s="132" t="e">
        <f>IF(SUM(N19:P19)&lt;10790,BA19,BB19)</f>
        <v>#VALUE!</v>
      </c>
      <c r="BS19" s="139">
        <f>IF(AND(E19&gt;0,$Q$6="S-10"),BT19,BX19)</f>
        <v>0</v>
      </c>
      <c r="BT19" s="132" t="e">
        <f>IF(SUM(N19:P19)&lt;18740,BA19,BB19)</f>
        <v>#VALUE!</v>
      </c>
      <c r="BU19" s="115"/>
      <c r="BV19" s="140"/>
      <c r="BW19" s="140"/>
      <c r="BX19" s="126"/>
      <c r="BY19" s="126"/>
      <c r="BZ19" s="126"/>
      <c r="CA19" s="126"/>
      <c r="CB19" s="126"/>
      <c r="CC19" s="126"/>
    </row>
    <row r="20" spans="1:81" ht="12.75">
      <c r="A20" s="98" t="s">
        <v>44</v>
      </c>
      <c r="B20" s="62"/>
      <c r="C20" s="58"/>
      <c r="D20" s="58"/>
      <c r="E20" s="58"/>
      <c r="F20" s="59"/>
      <c r="G20" s="59"/>
      <c r="H20" s="59"/>
      <c r="I20" s="59"/>
      <c r="J20" s="60"/>
      <c r="K20" s="59"/>
      <c r="L20" s="61"/>
      <c r="M20" s="14"/>
      <c r="N20" s="18"/>
      <c r="O20" s="18"/>
      <c r="P20" s="18"/>
      <c r="Q20" s="18"/>
      <c r="R20" s="18"/>
      <c r="S20" s="18"/>
      <c r="T20" s="18"/>
      <c r="U20" s="59"/>
      <c r="V20" s="8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2"/>
      <c r="AS20" s="142"/>
      <c r="AT20" s="142"/>
      <c r="AU20" s="142"/>
      <c r="AV20" s="142"/>
      <c r="AW20" s="142"/>
      <c r="AX20" s="142"/>
      <c r="AY20" s="142"/>
      <c r="AZ20" s="142"/>
      <c r="BA20" s="142"/>
      <c r="BB20" s="142"/>
      <c r="BC20" s="141"/>
      <c r="BD20" s="141"/>
      <c r="BE20" s="141"/>
      <c r="BF20" s="141"/>
      <c r="BG20" s="141"/>
      <c r="BH20" s="141"/>
      <c r="BI20" s="141"/>
      <c r="BJ20" s="142"/>
      <c r="BK20" s="142"/>
      <c r="BL20" s="141"/>
      <c r="BM20" s="141"/>
      <c r="BN20" s="141"/>
      <c r="BO20" s="141"/>
      <c r="BP20" s="141"/>
      <c r="BQ20" s="141"/>
      <c r="BR20" s="141"/>
      <c r="BS20" s="141"/>
      <c r="BT20" s="141"/>
      <c r="BU20" s="141"/>
      <c r="BV20" s="141"/>
      <c r="BW20" s="141"/>
      <c r="BX20" s="141"/>
      <c r="BY20" s="141"/>
      <c r="BZ20" s="141"/>
      <c r="CA20" s="141"/>
      <c r="CB20" s="141"/>
      <c r="CC20" s="141"/>
    </row>
    <row r="21" spans="1:81" ht="12.75">
      <c r="A21" s="104"/>
      <c r="B21" s="156">
        <f t="shared" si="3"/>
      </c>
      <c r="C21" s="97"/>
      <c r="D21" s="102"/>
      <c r="E21" s="95"/>
      <c r="F21" s="100"/>
      <c r="G21" s="33">
        <f t="shared" si="4"/>
        <v>0</v>
      </c>
      <c r="H21" s="100"/>
      <c r="I21" s="13">
        <f t="shared" si="5"/>
        <v>0</v>
      </c>
      <c r="J21" s="32"/>
      <c r="K21" s="32"/>
      <c r="L21" s="47">
        <f>IF(OR(D21="",F21=""),0,ROUND(SUM(F21:K21)*(D21/30),0))</f>
        <v>0</v>
      </c>
      <c r="M21" s="16"/>
      <c r="N21" s="33">
        <f aca="true" t="shared" si="13" ref="N21:P22">+F21</f>
        <v>0</v>
      </c>
      <c r="O21" s="13">
        <f t="shared" si="13"/>
        <v>0</v>
      </c>
      <c r="P21" s="33">
        <f t="shared" si="13"/>
        <v>0</v>
      </c>
      <c r="Q21" s="13">
        <f t="shared" si="6"/>
        <v>0</v>
      </c>
      <c r="R21" s="13">
        <f>+J21</f>
        <v>0</v>
      </c>
      <c r="S21" s="33">
        <f>+K21</f>
        <v>0</v>
      </c>
      <c r="T21" s="31">
        <f>IF(OR(D21="",F21=""),0,ROUND(SUM(N21:S21)*(D21/30),0))</f>
        <v>0</v>
      </c>
      <c r="U21" s="50">
        <f>SUM(L21-T21)</f>
        <v>0</v>
      </c>
      <c r="V21" s="79">
        <f t="shared" si="2"/>
      </c>
      <c r="W21" s="126"/>
      <c r="X21" s="127">
        <f>+A21</f>
        <v>0</v>
      </c>
      <c r="Y21" s="128">
        <f>IF(X21="",0,+DAY(X21))</f>
        <v>0</v>
      </c>
      <c r="Z21" s="128">
        <f>IF(X21="",0,+MONTH(X21))</f>
        <v>1</v>
      </c>
      <c r="AA21" s="128">
        <f>IF(X21="",0,+YEAR(X21))</f>
        <v>1900</v>
      </c>
      <c r="AB21" s="129">
        <f>IF(Z21=0,1,(+IF(OR(Z21=1,Z21=3,Z21=5,Z21=7,Z21=8,Z21=10,Z21=12),31,IF(OR(Z21=4,Z21=6,Z21=9,Z21=11),30,28))))</f>
        <v>31</v>
      </c>
      <c r="AC21" s="129">
        <f>IF((AA21/4)-TRUNC(AA21/4)=0,29,28)</f>
        <v>29</v>
      </c>
      <c r="AD21" s="129">
        <f>+IF(Z21=2,AC21,AB21)</f>
        <v>31</v>
      </c>
      <c r="AE21" s="130">
        <f>SUM(AD21-D21)</f>
        <v>31</v>
      </c>
      <c r="AF21" s="131">
        <f>ROUND((AE21/AD21)*F21,0)</f>
        <v>0</v>
      </c>
      <c r="AG21" s="131">
        <f t="shared" si="7"/>
        <v>0</v>
      </c>
      <c r="AH21" s="131">
        <f>ROUND((AE21/AD21)*H21,0)</f>
        <v>0</v>
      </c>
      <c r="AI21" s="132" t="str">
        <f t="shared" si="8"/>
        <v>Fill SOP</v>
      </c>
      <c r="AJ21" s="132" t="e">
        <f>IF($Q$6="U",ROUND(SUM(#REF!)*0.35,0),IF(AND($Q$6="S",#REF!="R"),ROUND(SUM(#REF!)*0.26,0),IF(AND($Q$6="S",#REF!="P"),ROUND(SUM(#REF!)*0.85,0),"Fill SOP")))</f>
        <v>#REF!</v>
      </c>
      <c r="AK21" s="132" t="e">
        <f>IF($Q$6="U",ROUND(SUM(#REF!)*0.41,0),IF(AND($Q$6="S",#REF!="R"),ROUND(SUM(#REF!)*0.32,0),IF(AND($Q$6="S",#REF!="P"),ROUND(SUM(#REF!)*0.91,0),"Fill SOP")))</f>
        <v>#REF!</v>
      </c>
      <c r="AL21" s="126"/>
      <c r="AM21" s="126"/>
      <c r="AN21" s="126"/>
      <c r="AO21" s="126"/>
      <c r="AP21" s="126"/>
      <c r="AQ21" s="126"/>
      <c r="AR21" s="143"/>
      <c r="AS21" s="143"/>
      <c r="AT21" s="143"/>
      <c r="AU21" s="143"/>
      <c r="AV21" s="143"/>
      <c r="AW21" s="143"/>
      <c r="AX21" s="143"/>
      <c r="AY21" s="143"/>
      <c r="AZ21" s="143"/>
      <c r="BA21" s="143"/>
      <c r="BB21" s="143"/>
      <c r="BC21" s="126"/>
      <c r="BD21" s="131">
        <f>+J21</f>
        <v>0</v>
      </c>
      <c r="BE21" s="131">
        <f>IF(AND($Q$6="S",B21="R"),$L$7,IF(SUM(N21:P21)&lt;2780,160,IF(SUM(N21:P21)&lt;4430,260,IF(SUM(N21:P21)&lt;8300,460,IF(SUM(N21:P21)&lt;10320,600,IF(SUM(N21:P21)&lt;11900,800,1000))))))</f>
        <v>160</v>
      </c>
      <c r="BF21" s="131">
        <f>IF($Q$6="U",BE21,IF(A21&lt;38777,BE21,IF(SUM(F21:H21)&lt;4590,190,IF(AND(SUM(F21:H21)&gt;4589,SUM(F21:H21)&lt;7300),280,IF(AND(SUM(F21:H21)&gt;7299,SUM(F21:H21)&lt;13700),340,380)))))</f>
        <v>160</v>
      </c>
      <c r="BG21" s="131">
        <f>IF(OR($Q$6="U",A21&lt;38777),BE21,IF(SUM(F21:H21)&lt;4590,250,IF(AND(SUM(F21:H21)&gt;4589,SUM(F21:H21)&lt;7300),400,IF(AND(SUM(F21:H21)&gt;7299,SUM(F21:H21)&lt;13700),600,IF(AND(SUM(F21:H21)&gt;13699,SUM(F21:H21)&lt;17100),750,IF(AND(SUM(F21:H21)&gt;17099,SUM(F21:H21)&lt;20200),1000,1200))))))</f>
        <v>160</v>
      </c>
      <c r="BH21" s="137">
        <f t="shared" si="9"/>
        <v>0</v>
      </c>
      <c r="BI21" s="137">
        <f t="shared" si="10"/>
        <v>0</v>
      </c>
      <c r="BJ21" s="160">
        <f t="shared" si="11"/>
        <v>0</v>
      </c>
      <c r="BK21" s="138">
        <f t="shared" si="12"/>
        <v>0</v>
      </c>
      <c r="BL21" s="139">
        <f>IF(B21="R",ROUND(SUM(F21:H21)*0.32,0),IF(B21="P",ROUND(SUM(F21:H21)*0.91,0),0))</f>
        <v>0</v>
      </c>
      <c r="BM21" s="139">
        <f>IF(B21="R",ROUND(SUM(F21:H21)*0.38,0),IF(B21="P",ROUND(SUM(F21:H21)*0.97,0),0))</f>
        <v>0</v>
      </c>
      <c r="BN21" s="139">
        <f>ROUND(SUM(F21:H21)*0.41,0)</f>
        <v>0</v>
      </c>
      <c r="BO21" s="139">
        <f>ROUND(SUM(F21:H21)*0.47,0)</f>
        <v>0</v>
      </c>
      <c r="BP21" s="126"/>
      <c r="BQ21" s="126"/>
      <c r="BR21" s="126"/>
      <c r="BS21" s="126"/>
      <c r="BT21" s="126"/>
      <c r="BU21" s="126"/>
      <c r="BV21" s="140" t="b">
        <f>IF($Q$6="U",120,IF(OR(C21="P",A21&gt;38776),0,IF(B21="P",IF(F21="",0,IF(F21&lt;3050,30,IF(AND(F21&gt;3049,F21&lt;4500),40,IF(AND(F21&gt;4499,F21&lt;5800),65,120)))))))</f>
        <v>0</v>
      </c>
      <c r="BW21" s="140">
        <f>IF($Q$6="U",120,IF(OR(C21="T",C21="P"),0,IF(OR(C21="N",F21=""),0,IF(F21&lt;4990,30,IF(AND(F21&gt;4989,F21&lt;7480),40,IF(AND(F21&gt;7479,F21&lt;9590),65,120))))))</f>
        <v>0</v>
      </c>
      <c r="BX21" s="126"/>
      <c r="BY21" s="126"/>
      <c r="BZ21" s="126"/>
      <c r="CA21" s="126"/>
      <c r="CB21" s="126"/>
      <c r="CC21" s="145"/>
    </row>
    <row r="22" spans="1:81" ht="12.75">
      <c r="A22" s="109"/>
      <c r="B22" s="156">
        <f t="shared" si="3"/>
      </c>
      <c r="C22" s="97"/>
      <c r="D22" s="102"/>
      <c r="E22" s="95"/>
      <c r="F22" s="108"/>
      <c r="G22" s="33">
        <f t="shared" si="4"/>
        <v>0</v>
      </c>
      <c r="H22" s="100"/>
      <c r="I22" s="13">
        <f t="shared" si="5"/>
        <v>0</v>
      </c>
      <c r="J22" s="32"/>
      <c r="K22" s="32"/>
      <c r="L22" s="47">
        <f>IF(OR(D22="",F22=""),0,ROUND(SUM(F22:K22)*(D22/30),0))</f>
        <v>0</v>
      </c>
      <c r="M22" s="16"/>
      <c r="N22" s="33">
        <f t="shared" si="13"/>
        <v>0</v>
      </c>
      <c r="O22" s="13">
        <f t="shared" si="13"/>
        <v>0</v>
      </c>
      <c r="P22" s="33">
        <f t="shared" si="13"/>
        <v>0</v>
      </c>
      <c r="Q22" s="13">
        <f t="shared" si="6"/>
        <v>0</v>
      </c>
      <c r="R22" s="13">
        <f>+J22</f>
        <v>0</v>
      </c>
      <c r="S22" s="33">
        <f>+K22</f>
        <v>0</v>
      </c>
      <c r="T22" s="31">
        <f>IF(OR(D22="",F22=""),0,ROUND(SUM(N22:S22)*(D22/30),0))</f>
        <v>0</v>
      </c>
      <c r="U22" s="50">
        <f>SUM(L22-T22)</f>
        <v>0</v>
      </c>
      <c r="V22" s="79"/>
      <c r="W22" s="126"/>
      <c r="X22" s="127">
        <f>+A22</f>
        <v>0</v>
      </c>
      <c r="Y22" s="128">
        <f>IF(X22="",0,+DAY(X22))</f>
        <v>0</v>
      </c>
      <c r="Z22" s="128">
        <f>IF(X22="",0,+MONTH(X22))</f>
        <v>1</v>
      </c>
      <c r="AA22" s="128">
        <f>IF(X22="",0,+YEAR(X22))</f>
        <v>1900</v>
      </c>
      <c r="AB22" s="129">
        <f>IF(Z22=0,1,(+IF(OR(Z22=1,Z22=3,Z22=5,Z22=7,Z22=8,Z22=10,Z22=12),31,IF(OR(Z22=4,Z22=6,Z22=9,Z22=11),30,28))))</f>
        <v>31</v>
      </c>
      <c r="AC22" s="129">
        <f>IF((AA22/4)-TRUNC(AA22/4)=0,29,28)</f>
        <v>29</v>
      </c>
      <c r="AD22" s="129">
        <f>+IF(Z22=2,AC22,AB22)</f>
        <v>31</v>
      </c>
      <c r="AE22" s="130">
        <f>SUM(AD22-D22)</f>
        <v>31</v>
      </c>
      <c r="AF22" s="131">
        <f>ROUND((AE22/AD22)*F22,0)</f>
        <v>0</v>
      </c>
      <c r="AG22" s="131">
        <f t="shared" si="7"/>
        <v>0</v>
      </c>
      <c r="AH22" s="131">
        <f>ROUND((AE22/AD22)*H22,0)</f>
        <v>0</v>
      </c>
      <c r="AI22" s="132" t="str">
        <f t="shared" si="8"/>
        <v>Fill SOP</v>
      </c>
      <c r="AJ22" s="132" t="e">
        <f>IF($Q$6="U",ROUND(SUM(#REF!)*0.35,0),IF(AND($Q$6="S",#REF!="R"),ROUND(SUM(#REF!)*0.26,0),IF(AND($Q$6="S",#REF!="P"),ROUND(SUM(#REF!)*0.85,0),"Fill SOP")))</f>
        <v>#REF!</v>
      </c>
      <c r="AK22" s="132" t="e">
        <f>IF($Q$6="U",ROUND(SUM(#REF!)*0.41,0),IF(AND($Q$6="S",#REF!="R"),ROUND(SUM(#REF!)*0.32,0),IF(AND($Q$6="S",#REF!="P"),ROUND(SUM(#REF!)*0.91,0),"Fill SOP")))</f>
        <v>#REF!</v>
      </c>
      <c r="AL22" s="126"/>
      <c r="AM22" s="126"/>
      <c r="AN22" s="126"/>
      <c r="AO22" s="126"/>
      <c r="AP22" s="126"/>
      <c r="AQ22" s="126"/>
      <c r="AR22" s="143"/>
      <c r="AS22" s="143"/>
      <c r="AT22" s="143"/>
      <c r="AU22" s="143"/>
      <c r="AV22" s="143"/>
      <c r="AW22" s="143"/>
      <c r="AX22" s="143"/>
      <c r="AY22" s="143"/>
      <c r="AZ22" s="143"/>
      <c r="BA22" s="143"/>
      <c r="BB22" s="143"/>
      <c r="BC22" s="126"/>
      <c r="BD22" s="131">
        <f>+J22</f>
        <v>0</v>
      </c>
      <c r="BE22" s="131">
        <f>IF(AND($Q$6="S",B22="R"),$L$7,IF(SUM(N22:P22)&lt;2780,160,IF(SUM(N22:P22)&lt;4430,260,IF(SUM(N22:P22)&lt;8300,460,IF(SUM(N22:P22)&lt;10320,600,IF(SUM(N22:P22)&lt;11900,800,1000))))))</f>
        <v>160</v>
      </c>
      <c r="BF22" s="131">
        <f>IF($Q$6="U",BE22,IF(A22&lt;38777,BE22,IF(SUM(F22:H22)&lt;4590,190,IF(AND(SUM(F22:H22)&gt;4589,SUM(F22:H22)&lt;7300),280,IF(AND(SUM(F22:H22)&gt;7299,SUM(F22:H22)&lt;13700),340,380)))))</f>
        <v>160</v>
      </c>
      <c r="BG22" s="131">
        <f>IF(OR($Q$6="U",A22&lt;38777),BE22,IF(SUM(F22:H22)&lt;4590,250,IF(AND(SUM(F22:H22)&gt;4589,SUM(F22:H22)&lt;7300),400,IF(AND(SUM(F22:H22)&gt;7299,SUM(F22:H22)&lt;13700),600,IF(AND(SUM(F22:H22)&gt;13699,SUM(F22:H22)&lt;17100),750,IF(AND(SUM(F22:H22)&gt;17099,SUM(F22:H22)&lt;20200),1000,1200))))))</f>
        <v>160</v>
      </c>
      <c r="BH22" s="137">
        <f t="shared" si="9"/>
        <v>0</v>
      </c>
      <c r="BI22" s="137">
        <f t="shared" si="10"/>
        <v>0</v>
      </c>
      <c r="BJ22" s="160">
        <f t="shared" si="11"/>
        <v>0</v>
      </c>
      <c r="BK22" s="138">
        <f t="shared" si="12"/>
        <v>0</v>
      </c>
      <c r="BL22" s="144">
        <f>IF(B22="R",ROUND(SUM(F22:H22)*0.32,0),IF(B22="P",ROUND(SUM(F22:H22)*0.91,0),0))</f>
        <v>0</v>
      </c>
      <c r="BM22" s="144">
        <f>IF(B22="R",ROUND(SUM(F22:H22)*0.38,0),IF(B22="P",ROUND(SUM(F22:H22)*0.97,0),0))</f>
        <v>0</v>
      </c>
      <c r="BN22" s="144">
        <f>ROUND(SUM(F22:H22)*0.41,0)</f>
        <v>0</v>
      </c>
      <c r="BO22" s="144">
        <f>ROUND(SUM(F22:H22)*0.47,0)</f>
        <v>0</v>
      </c>
      <c r="BP22" s="126"/>
      <c r="BQ22" s="126"/>
      <c r="BR22" s="126"/>
      <c r="BS22" s="126"/>
      <c r="BT22" s="126"/>
      <c r="BU22" s="126"/>
      <c r="BV22" s="140" t="b">
        <f>IF($Q$6="U",120,IF(OR(C22="P",A22&gt;38776),0,IF(B22="P",IF(F22="",0,IF(F22&lt;3050,30,IF(AND(F22&gt;3049,F22&lt;4500),40,IF(AND(F22&gt;4499,F22&lt;5800),65,120)))))))</f>
        <v>0</v>
      </c>
      <c r="BW22" s="140">
        <f>IF($Q$6="U",120,IF(OR(C22="T",C22="P"),0,IF(OR(C22="N",F22=""),0,IF(F22&lt;4990,30,IF(AND(F22&gt;4989,F22&lt;7480),40,IF(AND(F22&gt;7479,F22&lt;9590),65,120))))))</f>
        <v>0</v>
      </c>
      <c r="BX22" s="126"/>
      <c r="BY22" s="126"/>
      <c r="BZ22" s="126"/>
      <c r="CA22" s="126"/>
      <c r="CB22" s="126"/>
      <c r="CC22" s="145"/>
    </row>
    <row r="23" spans="1:81" ht="12.75" customHeight="1">
      <c r="A23" s="221" t="s">
        <v>119</v>
      </c>
      <c r="B23" s="222"/>
      <c r="C23" s="222"/>
      <c r="D23" s="222"/>
      <c r="E23" s="222"/>
      <c r="F23" s="223"/>
      <c r="G23" s="96"/>
      <c r="H23" s="18"/>
      <c r="I23" s="18"/>
      <c r="J23" s="18"/>
      <c r="K23" s="18"/>
      <c r="L23" s="18"/>
      <c r="M23" s="14"/>
      <c r="N23" s="18"/>
      <c r="O23" s="18"/>
      <c r="P23" s="18"/>
      <c r="Q23" s="18"/>
      <c r="R23" s="18"/>
      <c r="S23" s="18"/>
      <c r="T23" s="18"/>
      <c r="U23" s="18"/>
      <c r="V23" s="81"/>
      <c r="W23" s="141"/>
      <c r="X23" s="141"/>
      <c r="Y23" s="141"/>
      <c r="Z23" s="141"/>
      <c r="AA23" s="141"/>
      <c r="AB23" s="141"/>
      <c r="AC23" s="141"/>
      <c r="AD23" s="141"/>
      <c r="AE23" s="141"/>
      <c r="AF23" s="141"/>
      <c r="AG23" s="141"/>
      <c r="AH23" s="141"/>
      <c r="AI23" s="132" t="str">
        <f t="shared" si="8"/>
        <v>Fill SOP</v>
      </c>
      <c r="AJ23" s="132" t="e">
        <f>IF($Q$6="U",ROUND(SUM(#REF!)*0.35,0),IF(AND($Q$6="S",#REF!="R"),ROUND(SUM(#REF!)*0.26,0),IF(AND($Q$6="S",#REF!="P"),ROUND(SUM(#REF!)*0.85,0),"Fill SOP")))</f>
        <v>#REF!</v>
      </c>
      <c r="AK23" s="132" t="e">
        <f>IF($Q$6="U",ROUND(SUM(#REF!)*0.41,0),IF(AND($Q$6="S",#REF!="R"),ROUND(SUM(#REF!)*0.32,0),IF(AND($Q$6="S",#REF!="P"),ROUND(SUM(#REF!)*0.91,0),"Fill SOP")))</f>
        <v>#REF!</v>
      </c>
      <c r="AL23" s="141"/>
      <c r="AM23" s="141"/>
      <c r="AN23" s="141"/>
      <c r="AO23" s="141"/>
      <c r="AP23" s="141"/>
      <c r="AQ23" s="141"/>
      <c r="AR23" s="142"/>
      <c r="AS23" s="142"/>
      <c r="AT23" s="142"/>
      <c r="AU23" s="142"/>
      <c r="AV23" s="142"/>
      <c r="AW23" s="142"/>
      <c r="AX23" s="142"/>
      <c r="AY23" s="142"/>
      <c r="AZ23" s="142"/>
      <c r="BA23" s="142"/>
      <c r="BB23" s="142"/>
      <c r="BC23" s="141"/>
      <c r="BD23" s="141"/>
      <c r="BE23" s="141"/>
      <c r="BF23" s="141"/>
      <c r="BG23" s="141"/>
      <c r="BH23" s="141"/>
      <c r="BI23" s="141"/>
      <c r="BJ23" s="142"/>
      <c r="BK23" s="142"/>
      <c r="BL23" s="141"/>
      <c r="BM23" s="141"/>
      <c r="BN23" s="141"/>
      <c r="BO23" s="141"/>
      <c r="BP23" s="141"/>
      <c r="BQ23" s="141"/>
      <c r="BR23" s="141"/>
      <c r="BS23" s="141"/>
      <c r="BT23" s="141"/>
      <c r="BU23" s="141"/>
      <c r="BV23" s="141"/>
      <c r="BW23" s="141"/>
      <c r="BX23" s="141"/>
      <c r="BY23" s="141"/>
      <c r="BZ23" s="141"/>
      <c r="CA23" s="141"/>
      <c r="CB23" s="141"/>
      <c r="CC23" s="141"/>
    </row>
    <row r="24" spans="1:81" ht="12.75" customHeight="1">
      <c r="A24" s="104"/>
      <c r="B24" s="156">
        <f t="shared" si="3"/>
      </c>
      <c r="C24" s="97"/>
      <c r="D24" s="102"/>
      <c r="E24" s="100"/>
      <c r="F24" s="100"/>
      <c r="G24" s="33">
        <f t="shared" si="4"/>
        <v>0</v>
      </c>
      <c r="H24" s="100"/>
      <c r="I24" s="13">
        <f t="shared" si="5"/>
        <v>0</v>
      </c>
      <c r="J24" s="32"/>
      <c r="K24" s="32"/>
      <c r="L24" s="47">
        <f>IF(AND(A24="",F24&gt;0),"Month?",IF(F24=0,0,IF(OR(E24=0,E24=""),AK24,BL24)))</f>
        <v>0</v>
      </c>
      <c r="M24" s="14"/>
      <c r="N24" s="15">
        <f aca="true" t="shared" si="14" ref="N24:P25">+F24</f>
        <v>0</v>
      </c>
      <c r="O24" s="15">
        <f t="shared" si="14"/>
        <v>0</v>
      </c>
      <c r="P24" s="15">
        <f t="shared" si="14"/>
        <v>0</v>
      </c>
      <c r="Q24" s="13">
        <f t="shared" si="6"/>
        <v>0</v>
      </c>
      <c r="R24" s="15">
        <f>+J24</f>
        <v>0</v>
      </c>
      <c r="S24" s="15">
        <f>+K24</f>
        <v>0</v>
      </c>
      <c r="T24" s="31">
        <f>IF(F24="",0,IF(OR(E24="",E24=0),AW24,BQ24))</f>
        <v>0</v>
      </c>
      <c r="U24" s="49">
        <f>SUM(L24-T24)</f>
        <v>0</v>
      </c>
      <c r="V24" s="81"/>
      <c r="W24" s="141"/>
      <c r="X24" s="127">
        <f>+A24</f>
        <v>0</v>
      </c>
      <c r="Y24" s="128">
        <f>IF(X24="",0,+DAY(X24))</f>
        <v>0</v>
      </c>
      <c r="Z24" s="128">
        <f>IF(X24="",0,+MONTH(X24))</f>
        <v>1</v>
      </c>
      <c r="AA24" s="128">
        <f>IF(X24="",0,+YEAR(X24))</f>
        <v>1900</v>
      </c>
      <c r="AB24" s="129">
        <f>IF(Z24=0,1,(+IF(OR(Z24=1,Z24=3,Z24=5,Z24=7,Z24=8,Z24=10,Z24=12),31,IF(OR(Z24=4,Z24=6,Z24=9,Z24=11),30,28))))</f>
        <v>31</v>
      </c>
      <c r="AC24" s="129">
        <f>IF((AA24/4)-TRUNC(AA24/4)=0,29,28)</f>
        <v>29</v>
      </c>
      <c r="AD24" s="129">
        <f>+IF(Z24=2,AC24,AB24)</f>
        <v>31</v>
      </c>
      <c r="AE24" s="130">
        <f>SUM(AD24-D24)</f>
        <v>31</v>
      </c>
      <c r="AF24" s="131">
        <f>ROUND((AE24/AD24)*F24,0)</f>
        <v>0</v>
      </c>
      <c r="AG24" s="131">
        <f t="shared" si="7"/>
        <v>0</v>
      </c>
      <c r="AH24" s="131">
        <f>ROUND((AE24/AD24)*H24,0)</f>
        <v>0</v>
      </c>
      <c r="AI24" s="132" t="str">
        <f t="shared" si="8"/>
        <v>Fill SOP</v>
      </c>
      <c r="AJ24" s="131">
        <f>ROUND((AE24/AD24)*SUM(J24:K24),0)</f>
        <v>0</v>
      </c>
      <c r="AK24" s="133">
        <f>ROUND((AE24/AD24)*SUM(F24:K24),0)</f>
        <v>0</v>
      </c>
      <c r="AL24" s="132" t="e">
        <f>ROUND(SUM(AF24:AH24)*0.5,0)+AI24</f>
        <v>#VALUE!</v>
      </c>
      <c r="AM24" s="132">
        <f>ROUND(SUM(AF24:AI24)*0.65,0)</f>
        <v>0</v>
      </c>
      <c r="AN24" s="131" t="e">
        <f>ROUND(((AE24-E24)/AE24)*SUM(AF24:AI24),0)+AJ24+ROUND((MAX(AL24:AM24)*(E24/AE24)),0)</f>
        <v>#VALUE!</v>
      </c>
      <c r="AO24" s="131">
        <f>AK24-ROUND(SUM(E24/AE24)*SUM(AF24:AI24)*0.5,0)</f>
        <v>0</v>
      </c>
      <c r="AP24" s="131">
        <f>SUM(AM24+AJ24)</f>
        <v>0</v>
      </c>
      <c r="AQ24" s="126"/>
      <c r="AR24" s="134">
        <f>ROUND((AE24/AD24)*F24,0)</f>
        <v>0</v>
      </c>
      <c r="AS24" s="134">
        <f>IF($Q$6="U-96",ROUND((AR24*0.5),0),0)</f>
        <v>0</v>
      </c>
      <c r="AT24" s="134">
        <f>ROUND((AE24/AD24)*H24,0)</f>
        <v>0</v>
      </c>
      <c r="AU24" s="135" t="str">
        <f>IF($Q$6="U-96",ROUND(SUM(AR24:AT24)*1.27,0),IF($Q$6="U-06",ROUND(SUM(AR24:AT24)*0.58,0),IF($Q$6="S-04",ROUND(SUM(AR24:AT24)*1.18,0),IF($Q$6="S-10",ROUND(SUM(AR24:AT24)*0.31,0),"Fill SOP"))))</f>
        <v>Fill SOP</v>
      </c>
      <c r="AV24" s="134">
        <f>ROUND((AE24/AD24)*SUM(R24:S24),0)</f>
        <v>0</v>
      </c>
      <c r="AW24" s="133">
        <f>ROUND((AE24/AD24)*SUM(N24:S24),0)</f>
        <v>0</v>
      </c>
      <c r="AX24" s="135" t="e">
        <f>ROUND(SUM(AR24:AT24)*0.5,0)+AU24</f>
        <v>#VALUE!</v>
      </c>
      <c r="AY24" s="135">
        <f>ROUND(SUM(AR24:AU24)*0.65,0)</f>
        <v>0</v>
      </c>
      <c r="AZ24" s="134" t="e">
        <f>AW24-ROUND(SUM(E24/AE24)*(AR24+AU24)/2,0)</f>
        <v>#VALUE!</v>
      </c>
      <c r="BA24" s="134" t="e">
        <f>ROUND(((AE24-E24)/AE24)*SUM(AR24:AU24),0)+AV24+ROUND((MAX(AX24:AY24)*(E24/AE24)),0)</f>
        <v>#VALUE!</v>
      </c>
      <c r="BB24" s="136">
        <f>AW24-ROUND(SUM(E24/AE24)*SUM(AR24:AU24)*0.5,0)</f>
        <v>0</v>
      </c>
      <c r="BC24" s="126"/>
      <c r="BD24" s="131">
        <f>+J24</f>
        <v>0</v>
      </c>
      <c r="BE24" s="131">
        <f>IF(AND($Q$6="S",B24="R"),$L$7,IF(SUM(N24:P24)&lt;2780,160,IF(SUM(N24:P24)&lt;4430,260,IF(SUM(N24:P24)&lt;8300,460,IF(SUM(N24:P24)&lt;10320,600,IF(SUM(N24:P24)&lt;11900,800,1000))))))</f>
        <v>160</v>
      </c>
      <c r="BF24" s="131">
        <f>IF($Q$6="U",BE24,IF(A24&lt;38777,BE24,IF(SUM(F24:H24)&lt;4590,190,IF(AND(SUM(F24:H24)&gt;4589,SUM(F24:H24)&lt;7300),280,IF(AND(SUM(F24:H24)&gt;7299,SUM(F24:H24)&lt;13700),340,380)))))</f>
        <v>160</v>
      </c>
      <c r="BG24" s="131">
        <f>IF(OR($Q$6="U",A24&lt;38777),BE24,IF(SUM(F24:H24)&lt;4590,250,IF(AND(SUM(F24:H24)&gt;4589,SUM(F24:H24)&lt;7300),400,IF(AND(SUM(F24:H24)&gt;7299,SUM(F24:H24)&lt;13700),600,IF(AND(SUM(F24:H24)&gt;13699,SUM(F24:H24)&lt;17100),750,IF(AND(SUM(F24:H24)&gt;17099,SUM(F24:H24)&lt;20200),1000,1200))))))</f>
        <v>160</v>
      </c>
      <c r="BH24" s="137">
        <f t="shared" si="9"/>
        <v>0</v>
      </c>
      <c r="BI24" s="137">
        <f t="shared" si="10"/>
        <v>0</v>
      </c>
      <c r="BJ24" s="160">
        <f t="shared" si="11"/>
        <v>0</v>
      </c>
      <c r="BK24" s="138">
        <f t="shared" si="12"/>
        <v>0</v>
      </c>
      <c r="BL24" s="132" t="e">
        <f>IF($Q$6="S-04",BM24,BO24)</f>
        <v>#VALUE!</v>
      </c>
      <c r="BM24" s="132" t="e">
        <f>IF(SUM(F24:H24)&lt;10790,AN24,AO24)</f>
        <v>#VALUE!</v>
      </c>
      <c r="BN24" s="139" t="e">
        <f>IF(AND(E24&gt;0,$Q$6="S-10"),BO24,BQ24)</f>
        <v>#VALUE!</v>
      </c>
      <c r="BO24" s="132" t="e">
        <f>IF(SUM(F24:H24)&lt;18740,AN24,AO24)</f>
        <v>#VALUE!</v>
      </c>
      <c r="BP24" s="115"/>
      <c r="BQ24" s="139" t="e">
        <f>IF($Q$6="S-04",BR24,BT24)</f>
        <v>#VALUE!</v>
      </c>
      <c r="BR24" s="132" t="e">
        <f>IF(SUM(N24:P24)&lt;10790,BA24,BB24)</f>
        <v>#VALUE!</v>
      </c>
      <c r="BS24" s="139">
        <f>IF(AND(E24&gt;0,$Q$6="S-10"),BT24,BX24)</f>
        <v>0</v>
      </c>
      <c r="BT24" s="132" t="e">
        <f>IF(SUM(N24:P24)&lt;18740,BA24,BB24)</f>
        <v>#VALUE!</v>
      </c>
      <c r="BU24" s="115"/>
      <c r="BV24" s="140" t="b">
        <f>IF($Q$6="U",120,IF(OR(C24="P",A24&gt;38776),0,IF(B24="P",IF(F24="",0,IF(F24&lt;3050,30,IF(AND(F24&gt;3049,F24&lt;4500),40,IF(AND(F24&gt;4499,F24&lt;5800),65,120)))))))</f>
        <v>0</v>
      </c>
      <c r="BW24" s="140">
        <f>IF($Q$6="U",120,IF(OR(C24="T",C24="P"),0,IF(OR(C24="N",F24=""),0,IF(F24&lt;4990,30,IF(AND(F24&gt;4989,F24&lt;7480),40,IF(AND(F24&gt;7479,F24&lt;9590),65,120))))))</f>
        <v>0</v>
      </c>
      <c r="BX24" s="141"/>
      <c r="BY24" s="141"/>
      <c r="BZ24" s="144">
        <f>IF(B24="R",ROUND(SUM(F24:H24)*0.26,0),IF(B24="P",ROUND(SUM(F24:H24)*0.85,0),0))</f>
        <v>0</v>
      </c>
      <c r="CA24" s="144">
        <f>IF(B24="R",ROUND(SUM(F24:H24)*0.32,0),IF(B24="P",ROUND(SUM(F24:H24)*0.91,0),0))</f>
        <v>0</v>
      </c>
      <c r="CB24" s="144">
        <f>ROUND(SUM(F24:H24)*0.35,0)</f>
        <v>0</v>
      </c>
      <c r="CC24" s="144">
        <f>ROUND(SUM(F24:H24)*0.41,0)</f>
        <v>0</v>
      </c>
    </row>
    <row r="25" spans="1:81" ht="12.75" customHeight="1">
      <c r="A25" s="109"/>
      <c r="B25" s="156">
        <f t="shared" si="3"/>
      </c>
      <c r="C25" s="97"/>
      <c r="D25" s="102"/>
      <c r="E25" s="100"/>
      <c r="F25" s="100"/>
      <c r="G25" s="33">
        <f t="shared" si="4"/>
        <v>0</v>
      </c>
      <c r="H25" s="100"/>
      <c r="I25" s="13">
        <f t="shared" si="5"/>
        <v>0</v>
      </c>
      <c r="J25" s="32"/>
      <c r="K25" s="32"/>
      <c r="L25" s="47">
        <f>IF(AND(A25="",F25&gt;0),"Month?",IF(F25=0,0,IF(OR(E25=0,E25=""),AK25,BL25)))</f>
        <v>0</v>
      </c>
      <c r="M25" s="14"/>
      <c r="N25" s="15">
        <f t="shared" si="14"/>
        <v>0</v>
      </c>
      <c r="O25" s="15">
        <f t="shared" si="14"/>
        <v>0</v>
      </c>
      <c r="P25" s="15">
        <f t="shared" si="14"/>
        <v>0</v>
      </c>
      <c r="Q25" s="13">
        <f t="shared" si="6"/>
        <v>0</v>
      </c>
      <c r="R25" s="15">
        <f>+J25</f>
        <v>0</v>
      </c>
      <c r="S25" s="15">
        <f>+K25</f>
        <v>0</v>
      </c>
      <c r="T25" s="31">
        <f>IF(F25="",0,IF(OR(E25="",E25=0),AW25,BQ25))</f>
        <v>0</v>
      </c>
      <c r="U25" s="49">
        <f>SUM(L25-T25)</f>
        <v>0</v>
      </c>
      <c r="V25" s="81"/>
      <c r="W25" s="141"/>
      <c r="X25" s="127">
        <f>+A25</f>
        <v>0</v>
      </c>
      <c r="Y25" s="128">
        <f>IF(X25="",0,+DAY(X25))</f>
        <v>0</v>
      </c>
      <c r="Z25" s="128">
        <f>IF(X25="",0,+MONTH(X25))</f>
        <v>1</v>
      </c>
      <c r="AA25" s="128">
        <f>IF(X25="",0,+YEAR(X25))</f>
        <v>1900</v>
      </c>
      <c r="AB25" s="129">
        <f>IF(Z25=0,1,(+IF(OR(Z25=1,Z25=3,Z25=5,Z25=7,Z25=8,Z25=10,Z25=12),31,IF(OR(Z25=4,Z25=6,Z25=9,Z25=11),30,28))))</f>
        <v>31</v>
      </c>
      <c r="AC25" s="129">
        <f>IF((AA25/4)-TRUNC(AA25/4)=0,29,28)</f>
        <v>29</v>
      </c>
      <c r="AD25" s="129">
        <f>+IF(Z25=2,AC25,AB25)</f>
        <v>31</v>
      </c>
      <c r="AE25" s="130">
        <f>SUM(AD25-D25)</f>
        <v>31</v>
      </c>
      <c r="AF25" s="131">
        <f>ROUND((AE25/AD25)*F25,0)</f>
        <v>0</v>
      </c>
      <c r="AG25" s="131">
        <f t="shared" si="7"/>
        <v>0</v>
      </c>
      <c r="AH25" s="131">
        <f>ROUND((AE25/AD25)*H25,0)</f>
        <v>0</v>
      </c>
      <c r="AI25" s="132" t="str">
        <f t="shared" si="8"/>
        <v>Fill SOP</v>
      </c>
      <c r="AJ25" s="131">
        <f>ROUND((AE25/AD25)*SUM(J25:K25),0)</f>
        <v>0</v>
      </c>
      <c r="AK25" s="133">
        <f>ROUND((AE25/AD25)*SUM(F25:K25),0)</f>
        <v>0</v>
      </c>
      <c r="AL25" s="132" t="e">
        <f>ROUND(SUM(AF25:AH25)*0.5,0)+AI25</f>
        <v>#VALUE!</v>
      </c>
      <c r="AM25" s="132">
        <f>ROUND(SUM(AF25:AI25)*0.65,0)</f>
        <v>0</v>
      </c>
      <c r="AN25" s="131" t="e">
        <f>ROUND(((AE25-E25)/AE25)*SUM(AF25:AI25),0)+AJ25+ROUND((MAX(AL25:AM25)*(E25/AE25)),0)</f>
        <v>#VALUE!</v>
      </c>
      <c r="AO25" s="131">
        <f>AK25-ROUND(SUM(E25/AE25)*SUM(AF25:AI25)*0.5,0)</f>
        <v>0</v>
      </c>
      <c r="AP25" s="131">
        <f>SUM(AM25+AJ25)</f>
        <v>0</v>
      </c>
      <c r="AQ25" s="126"/>
      <c r="AR25" s="134">
        <f>ROUND((AE25/AD25)*F25,0)</f>
        <v>0</v>
      </c>
      <c r="AS25" s="134">
        <f>IF($Q$6="U-96",ROUND((AR25*0.5),0),0)</f>
        <v>0</v>
      </c>
      <c r="AT25" s="134">
        <f>ROUND((AE25/AD25)*H25,0)</f>
        <v>0</v>
      </c>
      <c r="AU25" s="135" t="str">
        <f>IF($Q$6="U-96",ROUND(SUM(AR25:AT25)*1.27,0),IF($Q$6="U-06",ROUND(SUM(AR25:AT25)*0.58,0),IF($Q$6="S-04",ROUND(SUM(AR25:AT25)*1.18,0),IF($Q$6="S-10",ROUND(SUM(AR25:AT25)*0.31,0),"Fill SOP"))))</f>
        <v>Fill SOP</v>
      </c>
      <c r="AV25" s="134">
        <f>ROUND((AE25/AD25)*SUM(R25:S25),0)</f>
        <v>0</v>
      </c>
      <c r="AW25" s="133">
        <f>ROUND((AE25/AD25)*SUM(N25:S25),0)</f>
        <v>0</v>
      </c>
      <c r="AX25" s="135" t="e">
        <f>ROUND(SUM(AR25:AT25)*0.5,0)+AU25</f>
        <v>#VALUE!</v>
      </c>
      <c r="AY25" s="135">
        <f>ROUND(SUM(AR25:AU25)*0.65,0)</f>
        <v>0</v>
      </c>
      <c r="AZ25" s="134" t="e">
        <f>AW25-ROUND(SUM(E25/AE25)*(AR25+AU25)/2,0)</f>
        <v>#VALUE!</v>
      </c>
      <c r="BA25" s="134" t="e">
        <f>ROUND(((AE25-E25)/AE25)*SUM(AR25:AU25),0)+AV25+ROUND((MAX(AX25:AY25)*(E25/AE25)),0)</f>
        <v>#VALUE!</v>
      </c>
      <c r="BB25" s="136">
        <f>AW25-ROUND(SUM(E25/AE25)*SUM(AR25:AU25)*0.5,0)</f>
        <v>0</v>
      </c>
      <c r="BC25" s="126"/>
      <c r="BD25" s="131">
        <f>+J25</f>
        <v>0</v>
      </c>
      <c r="BE25" s="131">
        <f>IF(AND($Q$6="S",B25="R"),$L$7,IF(SUM(N25:P25)&lt;2780,160,IF(SUM(N25:P25)&lt;4430,260,IF(SUM(N25:P25)&lt;8300,460,IF(SUM(N25:P25)&lt;10320,600,IF(SUM(N25:P25)&lt;11900,800,1000))))))</f>
        <v>160</v>
      </c>
      <c r="BF25" s="131">
        <f>IF($Q$6="U",BE25,IF(A25&lt;38777,BE25,IF(SUM(F25:H25)&lt;4590,190,IF(AND(SUM(F25:H25)&gt;4589,SUM(F25:H25)&lt;7300),280,IF(AND(SUM(F25:H25)&gt;7299,SUM(F25:H25)&lt;13700),340,380)))))</f>
        <v>160</v>
      </c>
      <c r="BG25" s="131">
        <f>IF(OR($Q$6="U",A25&lt;38777),BE25,IF(SUM(F25:H25)&lt;4590,250,IF(AND(SUM(F25:H25)&gt;4589,SUM(F25:H25)&lt;7300),400,IF(AND(SUM(F25:H25)&gt;7299,SUM(F25:H25)&lt;13700),600,IF(AND(SUM(F25:H25)&gt;13699,SUM(F25:H25)&lt;17100),750,IF(AND(SUM(F25:H25)&gt;17099,SUM(F25:H25)&lt;20200),1000,1200))))))</f>
        <v>160</v>
      </c>
      <c r="BH25" s="137">
        <f t="shared" si="9"/>
        <v>0</v>
      </c>
      <c r="BI25" s="137">
        <f t="shared" si="10"/>
        <v>0</v>
      </c>
      <c r="BJ25" s="160">
        <f t="shared" si="11"/>
        <v>0</v>
      </c>
      <c r="BK25" s="138">
        <f t="shared" si="12"/>
        <v>0</v>
      </c>
      <c r="BL25" s="132" t="e">
        <f>IF($Q$6="S-04",BM25,BO25)</f>
        <v>#VALUE!</v>
      </c>
      <c r="BM25" s="132" t="e">
        <f>IF(SUM(F25:H25)&lt;10790,AN25,AO25)</f>
        <v>#VALUE!</v>
      </c>
      <c r="BN25" s="139" t="e">
        <f>IF(AND(E25&gt;0,$Q$6="S-10"),BO25,BQ25)</f>
        <v>#VALUE!</v>
      </c>
      <c r="BO25" s="132" t="e">
        <f>IF(SUM(F25:H25)&lt;18740,AN25,AO25)</f>
        <v>#VALUE!</v>
      </c>
      <c r="BP25" s="115"/>
      <c r="BQ25" s="139" t="e">
        <f>IF($Q$6="S-04",BR25,BT25)</f>
        <v>#VALUE!</v>
      </c>
      <c r="BR25" s="132" t="e">
        <f>IF(SUM(N25:P25)&lt;10790,BA25,BB25)</f>
        <v>#VALUE!</v>
      </c>
      <c r="BS25" s="139">
        <f>IF(AND(E25&gt;0,$Q$6="S-10"),BT25,BX25)</f>
        <v>0</v>
      </c>
      <c r="BT25" s="132" t="e">
        <f>IF(SUM(N25:P25)&lt;18740,BA25,BB25)</f>
        <v>#VALUE!</v>
      </c>
      <c r="BU25" s="115"/>
      <c r="BV25" s="140" t="b">
        <f>IF($Q$6="U",120,IF(OR(C25="P",A25&gt;38776),0,IF(B25="P",IF(F25="",0,IF(F25&lt;3050,30,IF(AND(F25&gt;3049,F25&lt;4500),40,IF(AND(F25&gt;4499,F25&lt;5800),65,120)))))))</f>
        <v>0</v>
      </c>
      <c r="BW25" s="140">
        <f>IF($Q$6="U",120,IF(OR(C25="T",C25="P"),0,IF(OR(C25="N",F25=""),0,IF(F25&lt;4990,30,IF(AND(F25&gt;4989,F25&lt;7480),40,IF(AND(F25&gt;7479,F25&lt;9590),65,120))))))</f>
        <v>0</v>
      </c>
      <c r="BX25" s="141"/>
      <c r="BY25" s="141"/>
      <c r="BZ25" s="144"/>
      <c r="CA25" s="144"/>
      <c r="CB25" s="144"/>
      <c r="CC25" s="144"/>
    </row>
    <row r="26" spans="1:81" ht="5.25" customHeight="1">
      <c r="A26" s="63"/>
      <c r="B26" s="18"/>
      <c r="C26" s="18"/>
      <c r="D26" s="18"/>
      <c r="E26" s="18"/>
      <c r="F26" s="18"/>
      <c r="G26" s="18"/>
      <c r="H26" s="18"/>
      <c r="I26" s="18"/>
      <c r="J26" s="18"/>
      <c r="K26" s="18"/>
      <c r="L26" s="18"/>
      <c r="M26" s="14"/>
      <c r="N26" s="15"/>
      <c r="O26" s="15"/>
      <c r="P26" s="15"/>
      <c r="Q26" s="15"/>
      <c r="R26" s="15"/>
      <c r="S26" s="15"/>
      <c r="T26" s="15"/>
      <c r="U26" s="57"/>
      <c r="V26" s="8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row>
    <row r="27" spans="1:81" ht="12.75">
      <c r="A27" s="224" t="s">
        <v>128</v>
      </c>
      <c r="B27" s="185"/>
      <c r="C27" s="226"/>
      <c r="D27" s="193"/>
      <c r="E27" s="193"/>
      <c r="F27" s="185"/>
      <c r="G27" s="185"/>
      <c r="H27" s="185"/>
      <c r="I27" s="185"/>
      <c r="J27" s="185"/>
      <c r="K27" s="185"/>
      <c r="L27" s="191">
        <f>SUM(L15:L19)+SUM(L21:L22)+SUM(L24:L25)</f>
        <v>0</v>
      </c>
      <c r="M27" s="17"/>
      <c r="N27" s="185"/>
      <c r="O27" s="193"/>
      <c r="P27" s="185"/>
      <c r="Q27" s="185"/>
      <c r="R27" s="185"/>
      <c r="S27" s="185"/>
      <c r="T27" s="191">
        <f>SUM(T15:T19)+SUM(T21:T22)+SUM(T24:T25)</f>
        <v>0</v>
      </c>
      <c r="U27" s="189">
        <f>SUM(L27-T27)</f>
        <v>0</v>
      </c>
      <c r="V27" s="80"/>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row>
    <row r="28" spans="1:81" ht="10.5" customHeight="1" thickBot="1">
      <c r="A28" s="225"/>
      <c r="B28" s="186"/>
      <c r="C28" s="227"/>
      <c r="D28" s="194"/>
      <c r="E28" s="194"/>
      <c r="F28" s="186"/>
      <c r="G28" s="186"/>
      <c r="H28" s="186"/>
      <c r="I28" s="186"/>
      <c r="J28" s="186"/>
      <c r="K28" s="186"/>
      <c r="L28" s="192"/>
      <c r="M28" s="17"/>
      <c r="N28" s="186"/>
      <c r="O28" s="194"/>
      <c r="P28" s="186"/>
      <c r="Q28" s="186"/>
      <c r="R28" s="186"/>
      <c r="S28" s="186"/>
      <c r="T28" s="192"/>
      <c r="U28" s="190"/>
      <c r="V28" s="80"/>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row>
    <row r="29" spans="1:81" ht="9.75" customHeight="1" thickBot="1">
      <c r="A29" s="99"/>
      <c r="B29" s="17"/>
      <c r="C29" s="17"/>
      <c r="D29" s="17"/>
      <c r="E29" s="17"/>
      <c r="F29" s="17"/>
      <c r="G29" s="17"/>
      <c r="H29" s="17"/>
      <c r="I29" s="17"/>
      <c r="J29" s="17"/>
      <c r="K29" s="17"/>
      <c r="L29" s="17"/>
      <c r="M29" s="17"/>
      <c r="N29" s="17"/>
      <c r="O29" s="17"/>
      <c r="P29" s="17"/>
      <c r="Q29" s="17"/>
      <c r="R29" s="17"/>
      <c r="S29" s="17"/>
      <c r="T29" s="17"/>
      <c r="U29" s="101"/>
      <c r="V29" s="3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row>
    <row r="30" spans="1:25" ht="14.25">
      <c r="A30" s="54"/>
      <c r="B30" s="203" t="s">
        <v>36</v>
      </c>
      <c r="C30" s="204"/>
      <c r="D30" s="204"/>
      <c r="E30" s="204"/>
      <c r="F30" s="204"/>
      <c r="G30" s="204"/>
      <c r="H30" s="204"/>
      <c r="I30" s="204"/>
      <c r="J30" s="205"/>
      <c r="K30" s="209">
        <f>+U27-T30</f>
        <v>0</v>
      </c>
      <c r="L30" s="210"/>
      <c r="M30" s="55"/>
      <c r="N30" s="213" t="s">
        <v>37</v>
      </c>
      <c r="O30" s="214"/>
      <c r="P30" s="214"/>
      <c r="Q30" s="214"/>
      <c r="R30" s="214"/>
      <c r="S30" s="215"/>
      <c r="T30" s="209">
        <f>+X37</f>
        <v>0</v>
      </c>
      <c r="U30" s="219"/>
      <c r="X30" s="148" t="s">
        <v>121</v>
      </c>
      <c r="Y30" s="149"/>
    </row>
    <row r="31" spans="1:25" ht="14.25">
      <c r="A31" s="21"/>
      <c r="B31" s="206"/>
      <c r="C31" s="207"/>
      <c r="D31" s="207"/>
      <c r="E31" s="207"/>
      <c r="F31" s="207"/>
      <c r="G31" s="207"/>
      <c r="H31" s="207"/>
      <c r="I31" s="207"/>
      <c r="J31" s="208"/>
      <c r="K31" s="211"/>
      <c r="L31" s="212"/>
      <c r="M31" s="17"/>
      <c r="N31" s="216"/>
      <c r="O31" s="217"/>
      <c r="P31" s="217"/>
      <c r="Q31" s="217"/>
      <c r="R31" s="217"/>
      <c r="S31" s="218"/>
      <c r="T31" s="211"/>
      <c r="U31" s="220"/>
      <c r="X31" s="149"/>
      <c r="Y31" s="149"/>
    </row>
    <row r="32" spans="1:24" ht="10.5" customHeight="1">
      <c r="A32" s="20"/>
      <c r="B32" s="17"/>
      <c r="C32" s="17"/>
      <c r="D32" s="17"/>
      <c r="E32" s="17"/>
      <c r="F32" s="17"/>
      <c r="G32" s="17"/>
      <c r="H32" s="17"/>
      <c r="I32" s="17"/>
      <c r="J32" s="17"/>
      <c r="K32" s="17"/>
      <c r="L32" s="17"/>
      <c r="M32" s="17"/>
      <c r="N32" s="17"/>
      <c r="O32" s="17"/>
      <c r="P32" s="17"/>
      <c r="Q32" s="17"/>
      <c r="R32" s="17"/>
      <c r="S32" s="17"/>
      <c r="T32" s="17"/>
      <c r="U32" s="19"/>
      <c r="W32" s="150">
        <v>41243</v>
      </c>
      <c r="X32" s="114">
        <f>IF(A21&gt;41243,U21,0)</f>
        <v>0</v>
      </c>
    </row>
    <row r="33" spans="1:24" ht="10.5" customHeight="1" thickBot="1">
      <c r="A33" s="20"/>
      <c r="B33" s="17"/>
      <c r="C33" s="17"/>
      <c r="D33" s="17"/>
      <c r="E33" s="17"/>
      <c r="F33" s="17"/>
      <c r="G33" s="17"/>
      <c r="H33" s="17"/>
      <c r="I33" s="17"/>
      <c r="J33" s="17"/>
      <c r="K33" s="17"/>
      <c r="L33" s="17"/>
      <c r="M33" s="17"/>
      <c r="N33" s="17"/>
      <c r="O33" s="17"/>
      <c r="P33" s="17"/>
      <c r="Q33" s="17"/>
      <c r="R33" s="17"/>
      <c r="S33" s="17"/>
      <c r="T33" s="17"/>
      <c r="U33" s="19"/>
      <c r="W33" s="163">
        <v>41243</v>
      </c>
      <c r="X33" s="114">
        <f>IF(A22&gt;41243,U22,0)</f>
        <v>0</v>
      </c>
    </row>
    <row r="34" spans="1:21" ht="12.75">
      <c r="A34" s="41"/>
      <c r="B34" s="177" t="s">
        <v>39</v>
      </c>
      <c r="C34" s="178"/>
      <c r="D34" s="178"/>
      <c r="E34" s="178"/>
      <c r="F34" s="178"/>
      <c r="G34" s="178"/>
      <c r="H34" s="178"/>
      <c r="I34" s="178"/>
      <c r="J34" s="178"/>
      <c r="K34" s="178"/>
      <c r="L34" s="179"/>
      <c r="M34" s="22"/>
      <c r="N34" s="26"/>
      <c r="O34" s="26"/>
      <c r="P34" s="23"/>
      <c r="Q34" s="26"/>
      <c r="R34" s="27"/>
      <c r="S34" s="183" t="s">
        <v>38</v>
      </c>
      <c r="T34" s="196">
        <f>SUM(K30+T30)</f>
        <v>0</v>
      </c>
      <c r="U34" s="197"/>
    </row>
    <row r="35" spans="1:24" ht="27.75" customHeight="1" thickBot="1">
      <c r="A35" s="41"/>
      <c r="B35" s="180"/>
      <c r="C35" s="181"/>
      <c r="D35" s="181"/>
      <c r="E35" s="181"/>
      <c r="F35" s="181"/>
      <c r="G35" s="181"/>
      <c r="H35" s="181"/>
      <c r="I35" s="181"/>
      <c r="J35" s="181"/>
      <c r="K35" s="181"/>
      <c r="L35" s="182"/>
      <c r="M35" s="22"/>
      <c r="N35" s="26"/>
      <c r="O35" s="26"/>
      <c r="P35" s="23"/>
      <c r="Q35" s="26"/>
      <c r="R35" s="27"/>
      <c r="S35" s="184"/>
      <c r="T35" s="198"/>
      <c r="U35" s="199"/>
      <c r="X35" s="114">
        <f>IF(A24&gt;41243,U24,0)</f>
        <v>0</v>
      </c>
    </row>
    <row r="36" spans="1:24" ht="12.75">
      <c r="A36" s="42"/>
      <c r="B36" s="43"/>
      <c r="C36" s="43"/>
      <c r="D36" s="43"/>
      <c r="E36" s="43"/>
      <c r="F36" s="14"/>
      <c r="G36" s="14"/>
      <c r="H36" s="14"/>
      <c r="I36" s="14"/>
      <c r="J36" s="14"/>
      <c r="K36" s="14"/>
      <c r="L36" s="14"/>
      <c r="M36" s="14"/>
      <c r="N36" s="14"/>
      <c r="O36" s="14"/>
      <c r="P36" s="14"/>
      <c r="Q36" s="14"/>
      <c r="R36" s="44"/>
      <c r="S36" s="14"/>
      <c r="T36" s="14"/>
      <c r="U36" s="45"/>
      <c r="X36" s="114">
        <f>IF(A25&gt;41243,U25,0)</f>
        <v>0</v>
      </c>
    </row>
    <row r="37" spans="1:24" ht="12.75">
      <c r="A37" s="42"/>
      <c r="B37" s="14"/>
      <c r="C37" s="14"/>
      <c r="D37" s="14"/>
      <c r="E37" s="105">
        <f>IF(AND(U21&gt;0,A21=""),"Please fill up the month in Cell (A20)","")</f>
      </c>
      <c r="F37" s="14"/>
      <c r="G37" s="14"/>
      <c r="H37" s="14"/>
      <c r="I37" s="14"/>
      <c r="J37" s="14"/>
      <c r="K37" s="14"/>
      <c r="L37" s="14"/>
      <c r="M37" s="14"/>
      <c r="N37" s="14"/>
      <c r="O37" s="14"/>
      <c r="P37" s="14"/>
      <c r="Q37" s="14"/>
      <c r="R37" s="14"/>
      <c r="S37" s="14"/>
      <c r="T37" s="14"/>
      <c r="U37" s="45"/>
      <c r="X37" s="114">
        <f>SUM(X32:X36)</f>
        <v>0</v>
      </c>
    </row>
    <row r="38" spans="1:21" ht="12.75">
      <c r="A38" s="42"/>
      <c r="B38" s="14"/>
      <c r="C38" s="14"/>
      <c r="D38" s="14"/>
      <c r="E38" s="105">
        <f>IF(AND(U22&gt;0,A22=""),"Please fill up the month in Cell (A21)","")</f>
      </c>
      <c r="F38" s="14"/>
      <c r="G38" s="14"/>
      <c r="H38" s="14"/>
      <c r="I38" s="14"/>
      <c r="J38" s="14"/>
      <c r="K38" s="14"/>
      <c r="L38" s="14"/>
      <c r="M38" s="14"/>
      <c r="N38" s="14"/>
      <c r="O38" s="14"/>
      <c r="P38" s="14"/>
      <c r="Q38" s="14"/>
      <c r="R38" s="14"/>
      <c r="S38" s="14"/>
      <c r="T38" s="14"/>
      <c r="U38" s="45"/>
    </row>
    <row r="39" spans="1:21" ht="12.75">
      <c r="A39" s="42"/>
      <c r="B39" s="14"/>
      <c r="C39" s="14"/>
      <c r="D39" s="14"/>
      <c r="E39" s="105">
        <f>IF(AND(U24&gt;0,A24=""),"Please fill up the month in Cell (A23)","")</f>
      </c>
      <c r="F39" s="14"/>
      <c r="G39" s="14"/>
      <c r="H39" s="14"/>
      <c r="I39" s="14"/>
      <c r="J39" s="14"/>
      <c r="K39" s="14"/>
      <c r="L39" s="14"/>
      <c r="M39" s="14"/>
      <c r="N39" s="14"/>
      <c r="O39" s="200" t="s">
        <v>21</v>
      </c>
      <c r="P39" s="200"/>
      <c r="Q39" s="14"/>
      <c r="R39" s="187"/>
      <c r="S39" s="187"/>
      <c r="T39" s="187"/>
      <c r="U39" s="188"/>
    </row>
    <row r="40" spans="1:21" ht="13.5" thickBot="1">
      <c r="A40" s="24" t="s">
        <v>22</v>
      </c>
      <c r="B40" s="172">
        <v>41256</v>
      </c>
      <c r="C40" s="172"/>
      <c r="D40" s="172"/>
      <c r="E40" s="106">
        <f>IF(AND(U25&gt;0,A25=""),"Please fill up the month in Col (A24)","")</f>
      </c>
      <c r="F40" s="51"/>
      <c r="G40" s="52"/>
      <c r="H40" s="52"/>
      <c r="I40" s="35"/>
      <c r="J40" s="35"/>
      <c r="K40" s="35"/>
      <c r="L40" s="35"/>
      <c r="M40" s="35"/>
      <c r="N40" s="173" t="s">
        <v>17</v>
      </c>
      <c r="O40" s="173"/>
      <c r="P40" s="53">
        <f>IF(+C5="","",+C5)</f>
      </c>
      <c r="Q40" s="174">
        <f>IF(+D5="","",+D5)</f>
      </c>
      <c r="R40" s="175"/>
      <c r="S40" s="175"/>
      <c r="T40" s="175"/>
      <c r="U40" s="176"/>
    </row>
    <row r="41" spans="1:2" ht="12.75">
      <c r="A41" s="40"/>
      <c r="B41" s="103">
        <f>IF(AND(T34=0,B40=""),"",IF(AND(T34&gt;0,B40=""),"Please fill up the date above",""))</f>
      </c>
    </row>
    <row r="42" spans="1:2" ht="12.75">
      <c r="A42" s="40"/>
      <c r="B42" s="14"/>
    </row>
    <row r="43" spans="1:20" ht="12.75">
      <c r="A43" s="40"/>
      <c r="L43" s="110"/>
      <c r="T43" s="110"/>
    </row>
    <row r="44" ht="12.75">
      <c r="A44" s="40"/>
    </row>
    <row r="45" ht="12.75">
      <c r="A45" s="40"/>
    </row>
    <row r="46" ht="12.75">
      <c r="A46" s="40"/>
    </row>
    <row r="101" ht="12.75">
      <c r="DA101" s="25" t="s">
        <v>129</v>
      </c>
    </row>
  </sheetData>
  <sheetProtection password="E568" sheet="1"/>
  <mergeCells count="56">
    <mergeCell ref="N6:P6"/>
    <mergeCell ref="D11:D12"/>
    <mergeCell ref="E11:E12"/>
    <mergeCell ref="F11:K11"/>
    <mergeCell ref="R6:S6"/>
    <mergeCell ref="D5:J5"/>
    <mergeCell ref="N5:P5"/>
    <mergeCell ref="Q5:U5"/>
    <mergeCell ref="D6:E6"/>
    <mergeCell ref="F6:L6"/>
    <mergeCell ref="I27:I28"/>
    <mergeCell ref="J27:J28"/>
    <mergeCell ref="S9:U9"/>
    <mergeCell ref="A10:A12"/>
    <mergeCell ref="B10:E10"/>
    <mergeCell ref="F10:L10"/>
    <mergeCell ref="N10:T10"/>
    <mergeCell ref="B11:B12"/>
    <mergeCell ref="C11:C12"/>
    <mergeCell ref="L11:L12"/>
    <mergeCell ref="N11:S11"/>
    <mergeCell ref="T11:T12"/>
    <mergeCell ref="BH12:BI12"/>
    <mergeCell ref="P27:P28"/>
    <mergeCell ref="S27:S28"/>
    <mergeCell ref="T27:T28"/>
    <mergeCell ref="A23:F23"/>
    <mergeCell ref="Q27:Q28"/>
    <mergeCell ref="A27:A28"/>
    <mergeCell ref="B27:B28"/>
    <mergeCell ref="C27:C28"/>
    <mergeCell ref="D27:D28"/>
    <mergeCell ref="E27:E28"/>
    <mergeCell ref="F27:F28"/>
    <mergeCell ref="N27:N28"/>
    <mergeCell ref="H27:H28"/>
    <mergeCell ref="B3:U3"/>
    <mergeCell ref="G27:G28"/>
    <mergeCell ref="T34:U35"/>
    <mergeCell ref="O39:P39"/>
    <mergeCell ref="K27:K28"/>
    <mergeCell ref="BJ12:BK12"/>
    <mergeCell ref="B30:J31"/>
    <mergeCell ref="K30:L31"/>
    <mergeCell ref="N30:S31"/>
    <mergeCell ref="T30:U31"/>
    <mergeCell ref="B40:D40"/>
    <mergeCell ref="N40:O40"/>
    <mergeCell ref="Q40:U40"/>
    <mergeCell ref="B34:L35"/>
    <mergeCell ref="S34:S35"/>
    <mergeCell ref="R27:R28"/>
    <mergeCell ref="R39:U39"/>
    <mergeCell ref="U27:U28"/>
    <mergeCell ref="L27:L28"/>
    <mergeCell ref="O27:O28"/>
  </mergeCells>
  <dataValidations count="6">
    <dataValidation type="list" allowBlank="1" showInputMessage="1" showErrorMessage="1" sqref="C21:C22 C24:C25 C15:C19">
      <formula1>$Y$9:$Y$12</formula1>
    </dataValidation>
    <dataValidation type="list" allowBlank="1" showInputMessage="1" showErrorMessage="1" sqref="C5">
      <formula1>$AA$1:$AA$6</formula1>
    </dataValidation>
    <dataValidation type="list" allowBlank="1" showInputMessage="1" showErrorMessage="1" sqref="U6">
      <formula1>$Z$1:$Z$12</formula1>
    </dataValidation>
    <dataValidation type="list" allowBlank="1" showInputMessage="1" showErrorMessage="1" sqref="Q6">
      <formula1>$AA$7:$AA$10</formula1>
    </dataValidation>
    <dataValidation type="list" allowBlank="1" showInputMessage="1" showErrorMessage="1" sqref="A21 A24">
      <formula1>$A$15:$A$16</formula1>
    </dataValidation>
    <dataValidation type="list" allowBlank="1" showInputMessage="1" showErrorMessage="1" sqref="A22 A25">
      <formula1>$A$17:$A$19</formula1>
    </dataValidation>
  </dataValidations>
  <printOptions/>
  <pageMargins left="0.35433070866141736" right="0.1968503937007874" top="0.31496062992125984" bottom="0.2362204724409449" header="0.2755905511811024" footer="0.15748031496062992"/>
  <pageSetup horizontalDpi="600" verticalDpi="600" orientation="landscape" scale="96" r:id="rId3"/>
  <rowBreaks count="1" manualBreakCount="1">
    <brk id="40" max="255" man="1"/>
  </rowBreaks>
  <legacyDrawing r:id="rId2"/>
</worksheet>
</file>

<file path=xl/worksheets/sheet4.xml><?xml version="1.0" encoding="utf-8"?>
<worksheet xmlns="http://schemas.openxmlformats.org/spreadsheetml/2006/main" xmlns:r="http://schemas.openxmlformats.org/officeDocument/2006/relationships">
  <dimension ref="A1:E100"/>
  <sheetViews>
    <sheetView zoomScalePageLayoutView="0" workbookViewId="0" topLeftCell="F1">
      <selection activeCell="A1" sqref="A1:E16384"/>
    </sheetView>
  </sheetViews>
  <sheetFormatPr defaultColWidth="9.140625" defaultRowHeight="12.75"/>
  <cols>
    <col min="1" max="5" width="9.140625" style="159" hidden="1" customWidth="1"/>
    <col min="6" max="16384" width="9.140625" style="86" customWidth="1"/>
  </cols>
  <sheetData>
    <row r="1" spans="1:2" ht="12.75">
      <c r="A1" s="157">
        <v>38353</v>
      </c>
      <c r="B1" s="158">
        <f aca="true" t="shared" si="0" ref="B1:B64">+A1</f>
        <v>38353</v>
      </c>
    </row>
    <row r="2" spans="1:2" ht="12.75">
      <c r="A2" s="157">
        <v>38384</v>
      </c>
      <c r="B2" s="158">
        <f t="shared" si="0"/>
        <v>38384</v>
      </c>
    </row>
    <row r="3" spans="1:2" ht="12.75">
      <c r="A3" s="157">
        <v>38412</v>
      </c>
      <c r="B3" s="158">
        <f t="shared" si="0"/>
        <v>38412</v>
      </c>
    </row>
    <row r="4" spans="1:2" ht="12.75">
      <c r="A4" s="157">
        <v>38443</v>
      </c>
      <c r="B4" s="158">
        <f t="shared" si="0"/>
        <v>38443</v>
      </c>
    </row>
    <row r="5" spans="1:2" ht="12.75">
      <c r="A5" s="157">
        <v>38473</v>
      </c>
      <c r="B5" s="158">
        <f t="shared" si="0"/>
        <v>38473</v>
      </c>
    </row>
    <row r="6" spans="1:2" ht="12.75">
      <c r="A6" s="157">
        <v>38504</v>
      </c>
      <c r="B6" s="158">
        <f t="shared" si="0"/>
        <v>38504</v>
      </c>
    </row>
    <row r="7" spans="1:2" ht="12.75">
      <c r="A7" s="157">
        <v>38534</v>
      </c>
      <c r="B7" s="158">
        <f t="shared" si="0"/>
        <v>38534</v>
      </c>
    </row>
    <row r="8" spans="1:2" ht="12.75">
      <c r="A8" s="157">
        <v>38565</v>
      </c>
      <c r="B8" s="158">
        <f t="shared" si="0"/>
        <v>38565</v>
      </c>
    </row>
    <row r="9" spans="1:2" ht="12.75">
      <c r="A9" s="157">
        <v>38596</v>
      </c>
      <c r="B9" s="158">
        <f t="shared" si="0"/>
        <v>38596</v>
      </c>
    </row>
    <row r="10" spans="1:2" ht="12.75">
      <c r="A10" s="157">
        <v>38626</v>
      </c>
      <c r="B10" s="158">
        <f t="shared" si="0"/>
        <v>38626</v>
      </c>
    </row>
    <row r="11" spans="1:2" ht="12.75">
      <c r="A11" s="157">
        <v>38657</v>
      </c>
      <c r="B11" s="158">
        <f t="shared" si="0"/>
        <v>38657</v>
      </c>
    </row>
    <row r="12" spans="1:2" ht="12.75">
      <c r="A12" s="157">
        <v>38687</v>
      </c>
      <c r="B12" s="158">
        <f t="shared" si="0"/>
        <v>38687</v>
      </c>
    </row>
    <row r="13" spans="1:5" ht="12.75">
      <c r="A13" s="157">
        <v>38718</v>
      </c>
      <c r="B13" s="158">
        <f t="shared" si="0"/>
        <v>38718</v>
      </c>
      <c r="C13" s="159">
        <v>74</v>
      </c>
      <c r="D13" s="159">
        <f>SUM(C13-59)</f>
        <v>15</v>
      </c>
      <c r="E13" s="159">
        <f>SUM(D13+9)</f>
        <v>24</v>
      </c>
    </row>
    <row r="14" spans="1:2" ht="12.75">
      <c r="A14" s="157">
        <v>38749</v>
      </c>
      <c r="B14" s="158">
        <f t="shared" si="0"/>
        <v>38749</v>
      </c>
    </row>
    <row r="15" spans="1:2" ht="12.75">
      <c r="A15" s="157">
        <v>38777</v>
      </c>
      <c r="B15" s="158">
        <f t="shared" si="0"/>
        <v>38777</v>
      </c>
    </row>
    <row r="16" spans="1:2" ht="12.75">
      <c r="A16" s="157">
        <v>38808</v>
      </c>
      <c r="B16" s="158">
        <f t="shared" si="0"/>
        <v>38808</v>
      </c>
    </row>
    <row r="17" spans="1:2" ht="12.75">
      <c r="A17" s="157">
        <v>38838</v>
      </c>
      <c r="B17" s="158">
        <f t="shared" si="0"/>
        <v>38838</v>
      </c>
    </row>
    <row r="18" spans="1:2" ht="12.75">
      <c r="A18" s="157">
        <v>38869</v>
      </c>
      <c r="B18" s="158">
        <f t="shared" si="0"/>
        <v>38869</v>
      </c>
    </row>
    <row r="19" spans="1:5" ht="12.75">
      <c r="A19" s="157">
        <v>38899</v>
      </c>
      <c r="B19" s="158">
        <f t="shared" si="0"/>
        <v>38899</v>
      </c>
      <c r="C19" s="159">
        <v>79</v>
      </c>
      <c r="D19" s="159">
        <f>SUM(C19-59)</f>
        <v>20</v>
      </c>
      <c r="E19" s="159">
        <f>SUM(D19+9)</f>
        <v>29</v>
      </c>
    </row>
    <row r="20" spans="1:2" ht="12.75">
      <c r="A20" s="157">
        <v>38930</v>
      </c>
      <c r="B20" s="158">
        <f t="shared" si="0"/>
        <v>38930</v>
      </c>
    </row>
    <row r="21" spans="1:2" ht="12.75">
      <c r="A21" s="157">
        <v>38961</v>
      </c>
      <c r="B21" s="158">
        <f t="shared" si="0"/>
        <v>38961</v>
      </c>
    </row>
    <row r="22" spans="1:2" ht="12.75">
      <c r="A22" s="157">
        <v>38991</v>
      </c>
      <c r="B22" s="158">
        <f t="shared" si="0"/>
        <v>38991</v>
      </c>
    </row>
    <row r="23" spans="1:2" ht="12.75">
      <c r="A23" s="157">
        <v>39022</v>
      </c>
      <c r="B23" s="158">
        <f t="shared" si="0"/>
        <v>39022</v>
      </c>
    </row>
    <row r="24" spans="1:2" ht="12.75">
      <c r="A24" s="157">
        <v>39052</v>
      </c>
      <c r="B24" s="158">
        <f t="shared" si="0"/>
        <v>39052</v>
      </c>
    </row>
    <row r="25" spans="1:5" ht="12.75">
      <c r="A25" s="157">
        <v>39083</v>
      </c>
      <c r="B25" s="158">
        <f t="shared" si="0"/>
        <v>39083</v>
      </c>
      <c r="C25" s="159">
        <v>85</v>
      </c>
      <c r="D25" s="159">
        <f>SUM(C25-59)</f>
        <v>26</v>
      </c>
      <c r="E25" s="159">
        <f>SUM(D25+9)</f>
        <v>35</v>
      </c>
    </row>
    <row r="26" spans="1:2" ht="12.75">
      <c r="A26" s="157">
        <v>39114</v>
      </c>
      <c r="B26" s="158">
        <f t="shared" si="0"/>
        <v>39114</v>
      </c>
    </row>
    <row r="27" spans="1:2" ht="12.75">
      <c r="A27" s="157">
        <v>39142</v>
      </c>
      <c r="B27" s="158">
        <f t="shared" si="0"/>
        <v>39142</v>
      </c>
    </row>
    <row r="28" spans="1:2" ht="12.75">
      <c r="A28" s="157">
        <v>39173</v>
      </c>
      <c r="B28" s="158">
        <f t="shared" si="0"/>
        <v>39173</v>
      </c>
    </row>
    <row r="29" spans="1:2" ht="12.75">
      <c r="A29" s="157">
        <v>39203</v>
      </c>
      <c r="B29" s="158">
        <f t="shared" si="0"/>
        <v>39203</v>
      </c>
    </row>
    <row r="30" spans="1:2" ht="12.75">
      <c r="A30" s="157">
        <v>39234</v>
      </c>
      <c r="B30" s="158">
        <f t="shared" si="0"/>
        <v>39234</v>
      </c>
    </row>
    <row r="31" spans="1:5" ht="12.75">
      <c r="A31" s="157">
        <v>39264</v>
      </c>
      <c r="B31" s="158">
        <f t="shared" si="0"/>
        <v>39264</v>
      </c>
      <c r="C31" s="159">
        <v>91</v>
      </c>
      <c r="D31" s="159">
        <f>SUM(C31-59)</f>
        <v>32</v>
      </c>
      <c r="E31" s="159">
        <f>SUM(D31+9)</f>
        <v>41</v>
      </c>
    </row>
    <row r="32" spans="1:2" ht="12.75">
      <c r="A32" s="157">
        <v>39295</v>
      </c>
      <c r="B32" s="158">
        <f t="shared" si="0"/>
        <v>39295</v>
      </c>
    </row>
    <row r="33" spans="1:2" ht="12.75">
      <c r="A33" s="157">
        <v>39326</v>
      </c>
      <c r="B33" s="158">
        <f t="shared" si="0"/>
        <v>39326</v>
      </c>
    </row>
    <row r="34" spans="1:2" ht="12.75">
      <c r="A34" s="157">
        <v>39356</v>
      </c>
      <c r="B34" s="158">
        <f t="shared" si="0"/>
        <v>39356</v>
      </c>
    </row>
    <row r="35" spans="1:2" ht="12.75">
      <c r="A35" s="157">
        <v>39387</v>
      </c>
      <c r="B35" s="158">
        <f t="shared" si="0"/>
        <v>39387</v>
      </c>
    </row>
    <row r="36" spans="1:4" ht="12.75">
      <c r="A36" s="157">
        <v>39417</v>
      </c>
      <c r="B36" s="158">
        <f t="shared" si="0"/>
        <v>39417</v>
      </c>
      <c r="C36" s="157">
        <v>39447</v>
      </c>
      <c r="D36" s="158">
        <f>+C36</f>
        <v>39447</v>
      </c>
    </row>
    <row r="37" spans="1:2" ht="12.75">
      <c r="A37" s="157">
        <v>39448</v>
      </c>
      <c r="B37" s="158">
        <f t="shared" si="0"/>
        <v>39448</v>
      </c>
    </row>
    <row r="38" spans="1:2" ht="12.75">
      <c r="A38" s="157">
        <v>39479</v>
      </c>
      <c r="B38" s="158">
        <f t="shared" si="0"/>
        <v>39479</v>
      </c>
    </row>
    <row r="39" spans="1:2" ht="12.75">
      <c r="A39" s="157">
        <v>39508</v>
      </c>
      <c r="B39" s="158">
        <f t="shared" si="0"/>
        <v>39508</v>
      </c>
    </row>
    <row r="40" spans="1:2" ht="12.75">
      <c r="A40" s="157">
        <v>39539</v>
      </c>
      <c r="B40" s="158">
        <f t="shared" si="0"/>
        <v>39539</v>
      </c>
    </row>
    <row r="41" spans="1:2" ht="12.75">
      <c r="A41" s="157">
        <v>39569</v>
      </c>
      <c r="B41" s="158">
        <f t="shared" si="0"/>
        <v>39569</v>
      </c>
    </row>
    <row r="42" spans="1:2" ht="12.75">
      <c r="A42" s="157">
        <v>39600</v>
      </c>
      <c r="B42" s="158">
        <f t="shared" si="0"/>
        <v>39600</v>
      </c>
    </row>
    <row r="43" spans="1:2" ht="12.75">
      <c r="A43" s="157">
        <v>39630</v>
      </c>
      <c r="B43" s="158">
        <f t="shared" si="0"/>
        <v>39630</v>
      </c>
    </row>
    <row r="44" spans="1:2" ht="12.75">
      <c r="A44" s="157">
        <v>39661</v>
      </c>
      <c r="B44" s="158">
        <f t="shared" si="0"/>
        <v>39661</v>
      </c>
    </row>
    <row r="45" spans="1:2" ht="12.75">
      <c r="A45" s="157">
        <v>39692</v>
      </c>
      <c r="B45" s="158">
        <f t="shared" si="0"/>
        <v>39692</v>
      </c>
    </row>
    <row r="46" spans="1:2" ht="12.75">
      <c r="A46" s="157">
        <v>39722</v>
      </c>
      <c r="B46" s="158">
        <f t="shared" si="0"/>
        <v>39722</v>
      </c>
    </row>
    <row r="47" spans="1:2" ht="12.75">
      <c r="A47" s="157">
        <v>39753</v>
      </c>
      <c r="B47" s="158">
        <f t="shared" si="0"/>
        <v>39753</v>
      </c>
    </row>
    <row r="48" spans="1:2" ht="12.75">
      <c r="A48" s="157">
        <v>39783</v>
      </c>
      <c r="B48" s="158">
        <f t="shared" si="0"/>
        <v>39783</v>
      </c>
    </row>
    <row r="49" spans="1:2" ht="12.75">
      <c r="A49" s="157">
        <v>39814</v>
      </c>
      <c r="B49" s="158">
        <f t="shared" si="0"/>
        <v>39814</v>
      </c>
    </row>
    <row r="50" spans="1:2" ht="12.75">
      <c r="A50" s="157">
        <v>39845</v>
      </c>
      <c r="B50" s="158">
        <f t="shared" si="0"/>
        <v>39845</v>
      </c>
    </row>
    <row r="51" spans="1:2" ht="12.75">
      <c r="A51" s="157">
        <v>39873</v>
      </c>
      <c r="B51" s="158">
        <f t="shared" si="0"/>
        <v>39873</v>
      </c>
    </row>
    <row r="52" spans="1:2" ht="12.75">
      <c r="A52" s="157">
        <v>39904</v>
      </c>
      <c r="B52" s="158">
        <f t="shared" si="0"/>
        <v>39904</v>
      </c>
    </row>
    <row r="53" spans="1:2" ht="12.75">
      <c r="A53" s="157">
        <v>39934</v>
      </c>
      <c r="B53" s="158">
        <f t="shared" si="0"/>
        <v>39934</v>
      </c>
    </row>
    <row r="54" spans="1:2" ht="12.75">
      <c r="A54" s="157">
        <v>39965</v>
      </c>
      <c r="B54" s="158">
        <f t="shared" si="0"/>
        <v>39965</v>
      </c>
    </row>
    <row r="55" spans="1:2" ht="12.75">
      <c r="A55" s="157">
        <v>39995</v>
      </c>
      <c r="B55" s="158">
        <f t="shared" si="0"/>
        <v>39995</v>
      </c>
    </row>
    <row r="56" spans="1:2" ht="12.75">
      <c r="A56" s="157">
        <v>40026</v>
      </c>
      <c r="B56" s="158">
        <f t="shared" si="0"/>
        <v>40026</v>
      </c>
    </row>
    <row r="57" spans="1:2" ht="12.75">
      <c r="A57" s="157">
        <v>40057</v>
      </c>
      <c r="B57" s="158">
        <f t="shared" si="0"/>
        <v>40057</v>
      </c>
    </row>
    <row r="58" spans="1:2" ht="12.75">
      <c r="A58" s="157">
        <v>40087</v>
      </c>
      <c r="B58" s="158">
        <f t="shared" si="0"/>
        <v>40087</v>
      </c>
    </row>
    <row r="59" spans="1:2" ht="12.75">
      <c r="A59" s="157">
        <v>40118</v>
      </c>
      <c r="B59" s="158">
        <f t="shared" si="0"/>
        <v>40118</v>
      </c>
    </row>
    <row r="60" spans="1:2" ht="12.75">
      <c r="A60" s="157">
        <v>40148</v>
      </c>
      <c r="B60" s="158">
        <f t="shared" si="0"/>
        <v>40148</v>
      </c>
    </row>
    <row r="61" spans="1:2" ht="12.75">
      <c r="A61" s="157">
        <v>40179</v>
      </c>
      <c r="B61" s="158">
        <f t="shared" si="0"/>
        <v>40179</v>
      </c>
    </row>
    <row r="62" spans="1:2" ht="12.75">
      <c r="A62" s="157">
        <v>40210</v>
      </c>
      <c r="B62" s="158">
        <f t="shared" si="0"/>
        <v>40210</v>
      </c>
    </row>
    <row r="63" spans="1:2" ht="12.75">
      <c r="A63" s="157">
        <v>40238</v>
      </c>
      <c r="B63" s="158">
        <f t="shared" si="0"/>
        <v>40238</v>
      </c>
    </row>
    <row r="64" spans="1:2" ht="12.75">
      <c r="A64" s="157">
        <v>40269</v>
      </c>
      <c r="B64" s="158">
        <f t="shared" si="0"/>
        <v>40269</v>
      </c>
    </row>
    <row r="65" spans="1:2" ht="12.75">
      <c r="A65" s="157">
        <v>40299</v>
      </c>
      <c r="B65" s="158">
        <f aca="true" t="shared" si="1" ref="B65:B100">+A65</f>
        <v>40299</v>
      </c>
    </row>
    <row r="66" spans="1:2" ht="12.75">
      <c r="A66" s="157">
        <v>40330</v>
      </c>
      <c r="B66" s="158">
        <f t="shared" si="1"/>
        <v>40330</v>
      </c>
    </row>
    <row r="67" spans="1:2" ht="12.75">
      <c r="A67" s="157">
        <v>40360</v>
      </c>
      <c r="B67" s="158">
        <f t="shared" si="1"/>
        <v>40360</v>
      </c>
    </row>
    <row r="68" spans="1:2" ht="12.75">
      <c r="A68" s="157">
        <v>40391</v>
      </c>
      <c r="B68" s="158">
        <f t="shared" si="1"/>
        <v>40391</v>
      </c>
    </row>
    <row r="69" spans="1:2" ht="12.75">
      <c r="A69" s="157">
        <v>40422</v>
      </c>
      <c r="B69" s="158">
        <f t="shared" si="1"/>
        <v>40422</v>
      </c>
    </row>
    <row r="70" spans="1:2" ht="12.75">
      <c r="A70" s="157">
        <v>40452</v>
      </c>
      <c r="B70" s="158">
        <f t="shared" si="1"/>
        <v>40452</v>
      </c>
    </row>
    <row r="71" spans="1:2" ht="12.75">
      <c r="A71" s="157">
        <v>40483</v>
      </c>
      <c r="B71" s="158">
        <f t="shared" si="1"/>
        <v>40483</v>
      </c>
    </row>
    <row r="72" spans="1:2" ht="12.75">
      <c r="A72" s="157">
        <v>40513</v>
      </c>
      <c r="B72" s="158">
        <f t="shared" si="1"/>
        <v>40513</v>
      </c>
    </row>
    <row r="73" spans="1:2" ht="12.75">
      <c r="A73" s="157">
        <v>40544</v>
      </c>
      <c r="B73" s="158">
        <f t="shared" si="1"/>
        <v>40544</v>
      </c>
    </row>
    <row r="74" spans="1:2" ht="12.75">
      <c r="A74" s="157">
        <v>40575</v>
      </c>
      <c r="B74" s="158">
        <f t="shared" si="1"/>
        <v>40575</v>
      </c>
    </row>
    <row r="75" spans="1:2" ht="12.75">
      <c r="A75" s="157">
        <v>40603</v>
      </c>
      <c r="B75" s="158">
        <f t="shared" si="1"/>
        <v>40603</v>
      </c>
    </row>
    <row r="76" spans="1:2" ht="12.75">
      <c r="A76" s="157">
        <v>40634</v>
      </c>
      <c r="B76" s="158">
        <f t="shared" si="1"/>
        <v>40634</v>
      </c>
    </row>
    <row r="77" spans="1:2" ht="12.75">
      <c r="A77" s="157">
        <v>40664</v>
      </c>
      <c r="B77" s="158">
        <f t="shared" si="1"/>
        <v>40664</v>
      </c>
    </row>
    <row r="78" spans="1:2" ht="12.75">
      <c r="A78" s="157">
        <v>40695</v>
      </c>
      <c r="B78" s="158">
        <f t="shared" si="1"/>
        <v>40695</v>
      </c>
    </row>
    <row r="79" spans="1:2" ht="12.75">
      <c r="A79" s="157">
        <v>40725</v>
      </c>
      <c r="B79" s="158">
        <f t="shared" si="1"/>
        <v>40725</v>
      </c>
    </row>
    <row r="80" spans="1:2" ht="12.75">
      <c r="A80" s="157">
        <v>40756</v>
      </c>
      <c r="B80" s="158">
        <f t="shared" si="1"/>
        <v>40756</v>
      </c>
    </row>
    <row r="81" spans="1:2" ht="12.75">
      <c r="A81" s="157">
        <v>40787</v>
      </c>
      <c r="B81" s="158">
        <f t="shared" si="1"/>
        <v>40787</v>
      </c>
    </row>
    <row r="82" spans="1:2" ht="12.75">
      <c r="A82" s="157">
        <v>40817</v>
      </c>
      <c r="B82" s="158">
        <f t="shared" si="1"/>
        <v>40817</v>
      </c>
    </row>
    <row r="83" spans="1:2" ht="12.75">
      <c r="A83" s="157">
        <v>40848</v>
      </c>
      <c r="B83" s="158">
        <f t="shared" si="1"/>
        <v>40848</v>
      </c>
    </row>
    <row r="84" spans="1:2" ht="12.75">
      <c r="A84" s="157">
        <v>40878</v>
      </c>
      <c r="B84" s="158">
        <f t="shared" si="1"/>
        <v>40878</v>
      </c>
    </row>
    <row r="85" spans="1:2" ht="12.75">
      <c r="A85" s="157">
        <v>40909</v>
      </c>
      <c r="B85" s="158">
        <f t="shared" si="1"/>
        <v>40909</v>
      </c>
    </row>
    <row r="86" spans="1:2" ht="12.75">
      <c r="A86" s="157">
        <v>40940</v>
      </c>
      <c r="B86" s="158">
        <f t="shared" si="1"/>
        <v>40940</v>
      </c>
    </row>
    <row r="87" spans="1:2" ht="12.75">
      <c r="A87" s="157">
        <v>40969</v>
      </c>
      <c r="B87" s="158">
        <f t="shared" si="1"/>
        <v>40969</v>
      </c>
    </row>
    <row r="88" spans="1:2" ht="12.75">
      <c r="A88" s="157">
        <v>41000</v>
      </c>
      <c r="B88" s="158">
        <f t="shared" si="1"/>
        <v>41000</v>
      </c>
    </row>
    <row r="89" spans="1:2" ht="12.75">
      <c r="A89" s="157">
        <v>41030</v>
      </c>
      <c r="B89" s="158">
        <f t="shared" si="1"/>
        <v>41030</v>
      </c>
    </row>
    <row r="90" spans="1:2" ht="12.75">
      <c r="A90" s="157">
        <v>41061</v>
      </c>
      <c r="B90" s="158">
        <f t="shared" si="1"/>
        <v>41061</v>
      </c>
    </row>
    <row r="91" spans="1:2" ht="12.75">
      <c r="A91" s="157">
        <v>41091</v>
      </c>
      <c r="B91" s="158">
        <f t="shared" si="1"/>
        <v>41091</v>
      </c>
    </row>
    <row r="92" spans="1:2" ht="12.75">
      <c r="A92" s="157">
        <v>41122</v>
      </c>
      <c r="B92" s="158">
        <f t="shared" si="1"/>
        <v>41122</v>
      </c>
    </row>
    <row r="93" spans="1:2" ht="12.75">
      <c r="A93" s="157">
        <v>41153</v>
      </c>
      <c r="B93" s="158">
        <f t="shared" si="1"/>
        <v>41153</v>
      </c>
    </row>
    <row r="94" spans="1:2" ht="12.75">
      <c r="A94" s="157">
        <v>41183</v>
      </c>
      <c r="B94" s="158">
        <f t="shared" si="1"/>
        <v>41183</v>
      </c>
    </row>
    <row r="95" spans="1:2" ht="12.75">
      <c r="A95" s="157">
        <v>41214</v>
      </c>
      <c r="B95" s="158">
        <f t="shared" si="1"/>
        <v>41214</v>
      </c>
    </row>
    <row r="96" spans="1:2" ht="12.75">
      <c r="A96" s="157">
        <v>41244</v>
      </c>
      <c r="B96" s="158">
        <f t="shared" si="1"/>
        <v>41244</v>
      </c>
    </row>
    <row r="97" spans="1:2" ht="12.75">
      <c r="A97" s="157">
        <v>41275</v>
      </c>
      <c r="B97" s="158">
        <f t="shared" si="1"/>
        <v>41275</v>
      </c>
    </row>
    <row r="98" spans="1:2" ht="12.75">
      <c r="A98" s="157">
        <v>41306</v>
      </c>
      <c r="B98" s="158">
        <f t="shared" si="1"/>
        <v>41306</v>
      </c>
    </row>
    <row r="99" spans="1:2" ht="12.75">
      <c r="A99" s="157">
        <v>41334</v>
      </c>
      <c r="B99" s="158">
        <f t="shared" si="1"/>
        <v>41334</v>
      </c>
    </row>
    <row r="100" spans="1:2" ht="12.75">
      <c r="A100" s="157">
        <v>41365</v>
      </c>
      <c r="B100" s="158">
        <f t="shared" si="1"/>
        <v>41365</v>
      </c>
    </row>
  </sheetData>
  <sheetProtection password="E568"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FO</cp:lastModifiedBy>
  <cp:lastPrinted>2012-06-25T10:39:31Z</cp:lastPrinted>
  <dcterms:created xsi:type="dcterms:W3CDTF">2007-04-16T15:12:04Z</dcterms:created>
  <dcterms:modified xsi:type="dcterms:W3CDTF">2012-12-13T07:43:53Z</dcterms:modified>
  <cp:category/>
  <cp:version/>
  <cp:contentType/>
  <cp:contentStatus/>
</cp:coreProperties>
</file>